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GoogleDrive\SINCRONIZADO\01_UFF\01_DISCIPLINAS\HIDRÁULICA\08_PLANILHAS\"/>
    </mc:Choice>
  </mc:AlternateContent>
  <xr:revisionPtr revIDLastSave="0" documentId="13_ncr:1_{CF0A269F-514F-44A5-BC7D-48B2F2EB6B29}" xr6:coauthVersionLast="45" xr6:coauthVersionMax="45" xr10:uidLastSave="{00000000-0000-0000-0000-000000000000}"/>
  <workbookProtection workbookAlgorithmName="SHA-512" workbookHashValue="gNaG/IQSh7FCfYIs0NS82EGt5wwBXboMg+4XIZsxPzmxG1gPRoR1x3mt5PnjlvsPtm3ZUgF+qyws2f+eFLJ1eQ==" workbookSaltValue="fgtmwwjweF7vQrWwnUNkEQ==" workbookSpinCount="100000" lockStructure="1"/>
  <bookViews>
    <workbookView xWindow="28680" yWindow="-120" windowWidth="24240" windowHeight="13140" tabRatio="669" xr2:uid="{00000000-000D-0000-FFFF-FFFF00000000}"/>
  </bookViews>
  <sheets>
    <sheet name="Perda_de_Carga" sheetId="1" r:id="rId1"/>
    <sheet name="Calculo" sheetId="8" r:id="rId2"/>
    <sheet name="Opcoes_perda-de-carga" sheetId="7" state="hidden" r:id="rId3"/>
    <sheet name="Formulário" sheetId="5" r:id="rId4"/>
    <sheet name="Unidades" sheetId="6" state="hidden" r:id="rId5"/>
    <sheet name="Colebrook-White" sheetId="4" state="hidden" r:id="rId6"/>
    <sheet name="Prandtl" sheetId="9" state="hidden" r:id="rId7"/>
  </sheets>
  <definedNames>
    <definedName name="A">Calculo!$E$5</definedName>
    <definedName name="C_HW">Perda_de_Carga!$D$19</definedName>
    <definedName name="Di">Perda_de_Carga!$E$15</definedName>
    <definedName name="L_tub">Perda_de_Carga!$E$14</definedName>
    <definedName name="Massa_Especifica">Perda_de_Carga!$E$22</definedName>
    <definedName name="Q">Perda_de_Carga!$F$13</definedName>
    <definedName name="Re">Calculo!$D$4</definedName>
    <definedName name="Rugosidade_absoluta">Perda_de_Carga!$E$18</definedName>
    <definedName name="Rugosidade_relativa">Calculo!$D$3</definedName>
    <definedName name="V">Perda_de_Carga!$E$13</definedName>
    <definedName name="Viscosidade">Perda_de_Carga!$E$21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K10" i="6" l="1"/>
  <c r="K9" i="6"/>
  <c r="S5" i="6" l="1"/>
  <c r="S7" i="6" l="1"/>
  <c r="S6" i="6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G7" i="6" l="1"/>
  <c r="E22" i="1"/>
  <c r="E21" i="1"/>
  <c r="M7" i="6"/>
  <c r="E18" i="1"/>
  <c r="E15" i="1"/>
  <c r="E5" i="8" s="1"/>
  <c r="D5" i="8" s="1"/>
  <c r="E14" i="1"/>
  <c r="K8" i="6"/>
  <c r="K7" i="6"/>
  <c r="K6" i="6"/>
  <c r="K5" i="6"/>
  <c r="I6" i="6"/>
  <c r="I7" i="6"/>
  <c r="C13" i="1"/>
  <c r="B6" i="8" l="1"/>
  <c r="C6" i="8"/>
  <c r="D3" i="8"/>
  <c r="E13" i="1"/>
  <c r="D28" i="1" s="1"/>
  <c r="E28" i="1" s="1"/>
  <c r="F13" i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L56" i="8" l="1"/>
  <c r="L59" i="8"/>
  <c r="K22" i="8"/>
  <c r="L23" i="8" s="1"/>
  <c r="D4" i="8"/>
  <c r="D6" i="8"/>
  <c r="L43" i="8"/>
  <c r="L48" i="8"/>
  <c r="L51" i="8"/>
  <c r="K56" i="8" l="1"/>
  <c r="K57" i="8" s="1"/>
  <c r="K59" i="8"/>
  <c r="K60" i="8" s="1"/>
  <c r="K38" i="8"/>
  <c r="L39" i="8" s="1"/>
  <c r="C7" i="4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K23" i="8"/>
  <c r="K24" i="8" s="1"/>
  <c r="K10" i="8"/>
  <c r="L11" i="8" s="1"/>
  <c r="K11" i="8" s="1"/>
  <c r="K12" i="8" s="1"/>
  <c r="D7" i="8"/>
  <c r="K18" i="8"/>
  <c r="L19" i="8" s="1"/>
  <c r="C7" i="9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K30" i="8"/>
  <c r="L31" i="8" s="1"/>
  <c r="K34" i="8"/>
  <c r="L35" i="8" s="1"/>
  <c r="K51" i="8"/>
  <c r="K52" i="8" s="1"/>
  <c r="K48" i="8"/>
  <c r="K49" i="8" s="1"/>
  <c r="K43" i="8"/>
  <c r="K44" i="8" s="1"/>
  <c r="K39" i="8" l="1"/>
  <c r="K40" i="8" s="1"/>
  <c r="K14" i="8"/>
  <c r="K19" i="8"/>
  <c r="K20" i="8" s="1"/>
  <c r="K26" i="8"/>
  <c r="K31" i="8"/>
  <c r="K32" i="8" s="1"/>
  <c r="K35" i="8"/>
  <c r="K36" i="8" s="1"/>
  <c r="L15" i="8" l="1"/>
  <c r="L27" i="8"/>
  <c r="E26" i="1" s="1"/>
  <c r="D26" i="1" s="1"/>
  <c r="D8" i="8"/>
  <c r="D9" i="8" s="1"/>
  <c r="D10" i="8" s="1"/>
  <c r="K15" i="8" l="1"/>
  <c r="K16" i="8" s="1"/>
  <c r="D11" i="8"/>
  <c r="D12" i="8"/>
  <c r="K6" i="8" s="1"/>
  <c r="L7" i="8" s="1"/>
  <c r="K27" i="8"/>
  <c r="K28" i="8" s="1"/>
  <c r="K7" i="8" l="1"/>
  <c r="K8" i="8" s="1"/>
  <c r="D27" i="1"/>
  <c r="D29" i="1" l="1"/>
  <c r="E27" i="1"/>
  <c r="E29" i="1" l="1"/>
  <c r="E30" i="1" s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K12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Valores da </t>
        </r>
        <r>
          <rPr>
            <b/>
            <sz val="9"/>
            <color indexed="81"/>
            <rFont val="Segoe UI"/>
            <family val="2"/>
          </rPr>
          <t>rugosidade absoluta</t>
        </r>
        <r>
          <rPr>
            <sz val="9"/>
            <color indexed="81"/>
            <rFont val="Segoe UI"/>
            <family val="2"/>
          </rPr>
          <t xml:space="preserve"> (epsilon) em </t>
        </r>
        <r>
          <rPr>
            <b/>
            <sz val="9"/>
            <color indexed="81"/>
            <rFont val="Segoe UI"/>
            <family val="2"/>
          </rPr>
          <t>milímetros</t>
        </r>
        <r>
          <rPr>
            <sz val="9"/>
            <color indexed="81"/>
            <rFont val="Segoe UI"/>
            <family val="2"/>
          </rPr>
          <t xml:space="preserve"> para os materiais mais comuns.
Este dado é necessário caso seja selecionada a fórmula de  </t>
        </r>
        <r>
          <rPr>
            <b/>
            <sz val="9"/>
            <color indexed="81"/>
            <rFont val="Segoe UI"/>
            <family val="2"/>
          </rPr>
          <t>Darcy-Weisbach</t>
        </r>
        <r>
          <rPr>
            <sz val="9"/>
            <color indexed="81"/>
            <rFont val="Segoe UI"/>
            <family val="2"/>
          </rPr>
          <t xml:space="preserve"> para o cálculo da </t>
        </r>
        <r>
          <rPr>
            <b/>
            <sz val="9"/>
            <color indexed="81"/>
            <rFont val="Segoe UI"/>
            <family val="2"/>
          </rPr>
          <t>perda de carga</t>
        </r>
        <r>
          <rPr>
            <sz val="9"/>
            <color indexed="81"/>
            <rFont val="Segoe UI"/>
            <family val="2"/>
          </rPr>
          <t>.</t>
        </r>
      </text>
    </comment>
    <comment ref="L12" authorId="0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Valores do </t>
        </r>
        <r>
          <rPr>
            <b/>
            <sz val="9"/>
            <color indexed="81"/>
            <rFont val="Segoe UI"/>
            <family val="2"/>
          </rPr>
          <t>coefriciente C</t>
        </r>
        <r>
          <rPr>
            <sz val="9"/>
            <color indexed="81"/>
            <rFont val="Segoe UI"/>
            <family val="2"/>
          </rPr>
          <t xml:space="preserve"> para os materiais mais comuns.
Este dado é necessário caso seja selecionada a fórmula de  </t>
        </r>
        <r>
          <rPr>
            <b/>
            <sz val="9"/>
            <color indexed="81"/>
            <rFont val="Segoe UI"/>
            <family val="2"/>
          </rPr>
          <t>Hazen-Williams</t>
        </r>
        <r>
          <rPr>
            <sz val="9"/>
            <color indexed="81"/>
            <rFont val="Segoe UI"/>
            <family val="2"/>
          </rPr>
          <t xml:space="preserve"> para o cálculo da perda de carga.</t>
        </r>
      </text>
    </comment>
    <comment ref="B13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Escolha, clicando na seta ao lado, o tipo de dado de entrada para o escoamento:
 - velocidade média; ou
 - vazão.</t>
        </r>
      </text>
    </comment>
    <comment ref="D13" authorId="0" shapeId="0" xr:uid="{00000000-0006-0000-0000-000004000000}">
      <text>
        <r>
          <rPr>
            <sz val="9"/>
            <color indexed="81"/>
            <rFont val="Segoe UI"/>
            <family val="2"/>
          </rPr>
          <t xml:space="preserve">Valor da </t>
        </r>
        <r>
          <rPr>
            <b/>
            <sz val="9"/>
            <color indexed="81"/>
            <rFont val="Segoe UI"/>
            <family val="2"/>
          </rPr>
          <t>velocidade média</t>
        </r>
        <r>
          <rPr>
            <sz val="9"/>
            <color indexed="81"/>
            <rFont val="Segoe UI"/>
            <family val="2"/>
          </rPr>
          <t xml:space="preserve"> ou </t>
        </r>
        <r>
          <rPr>
            <b/>
            <sz val="9"/>
            <color indexed="81"/>
            <rFont val="Segoe UI"/>
            <family val="2"/>
          </rPr>
          <t>vazão</t>
        </r>
        <r>
          <rPr>
            <sz val="9"/>
            <color indexed="81"/>
            <rFont val="Segoe UI"/>
            <family val="2"/>
          </rPr>
          <t xml:space="preserve"> do escoamento na tubulação, dependendo do tipo de dado selecionado na célula "B12".
A </t>
        </r>
        <r>
          <rPr>
            <b/>
            <sz val="9"/>
            <color indexed="81"/>
            <rFont val="Segoe UI"/>
            <family val="2"/>
          </rPr>
          <t>unidade</t>
        </r>
        <r>
          <rPr>
            <sz val="9"/>
            <color indexed="81"/>
            <rFont val="Segoe UI"/>
            <family val="2"/>
          </rPr>
          <t xml:space="preserve"> deve ser selecionada na célula ao lado direito.</t>
        </r>
      </text>
    </comment>
    <comment ref="G13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Selecione, clicando na seta ao lado, a </t>
        </r>
        <r>
          <rPr>
            <b/>
            <sz val="9"/>
            <color indexed="81"/>
            <rFont val="Segoe UI"/>
            <family val="2"/>
          </rPr>
          <t>unidade</t>
        </r>
        <r>
          <rPr>
            <sz val="9"/>
            <color indexed="81"/>
            <rFont val="Segoe UI"/>
            <family val="2"/>
          </rPr>
          <t xml:space="preserve"> para </t>
        </r>
        <r>
          <rPr>
            <b/>
            <sz val="9"/>
            <color indexed="81"/>
            <rFont val="Segoe UI"/>
            <family val="2"/>
          </rPr>
          <t>vazão</t>
        </r>
        <r>
          <rPr>
            <sz val="9"/>
            <color indexed="81"/>
            <rFont val="Segoe UI"/>
            <family val="2"/>
          </rPr>
          <t>, caso este seja o tipo de dado de entrada para o escoamento selecionado na célula "B12".</t>
        </r>
      </text>
    </comment>
    <comment ref="H13" authorId="0" shapeId="0" xr:uid="{00000000-0006-0000-0000-000006000000}">
      <text>
        <r>
          <rPr>
            <sz val="9"/>
            <color indexed="81"/>
            <rFont val="Segoe UI"/>
            <family val="2"/>
          </rPr>
          <t xml:space="preserve">Selecione, clicando na seta ao lado, a </t>
        </r>
        <r>
          <rPr>
            <b/>
            <sz val="9"/>
            <color indexed="81"/>
            <rFont val="Segoe UI"/>
            <family val="2"/>
          </rPr>
          <t>unidade</t>
        </r>
        <r>
          <rPr>
            <sz val="9"/>
            <color indexed="81"/>
            <rFont val="Segoe UI"/>
            <family val="2"/>
          </rPr>
          <t xml:space="preserve"> para</t>
        </r>
        <r>
          <rPr>
            <b/>
            <sz val="9"/>
            <color indexed="81"/>
            <rFont val="Segoe UI"/>
            <family val="2"/>
          </rPr>
          <t xml:space="preserve"> velocidade média</t>
        </r>
        <r>
          <rPr>
            <sz val="9"/>
            <color indexed="81"/>
            <rFont val="Segoe UI"/>
            <family val="2"/>
          </rPr>
          <t>, caso este seja o tipo de dado de entrada para o escoamento selecionado na célula "B12".</t>
        </r>
      </text>
    </comment>
    <comment ref="D14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Comprimento da tubulação</t>
        </r>
        <r>
          <rPr>
            <sz val="9"/>
            <color indexed="81"/>
            <rFont val="Segoe UI"/>
            <family val="2"/>
          </rPr>
          <t xml:space="preserve"> ao longo do qual será calculada a </t>
        </r>
        <r>
          <rPr>
            <b/>
            <sz val="9"/>
            <color indexed="81"/>
            <rFont val="Segoe UI"/>
            <family val="2"/>
          </rPr>
          <t>perda de carga</t>
        </r>
        <r>
          <rPr>
            <sz val="9"/>
            <color indexed="81"/>
            <rFont val="Segoe UI"/>
            <family val="2"/>
          </rPr>
          <t xml:space="preserve"> distribuída (absoluta).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A </t>
        </r>
        <r>
          <rPr>
            <b/>
            <sz val="9"/>
            <color indexed="81"/>
            <rFont val="Segoe UI"/>
            <family val="2"/>
          </rPr>
          <t>unidade</t>
        </r>
        <r>
          <rPr>
            <sz val="9"/>
            <color indexed="81"/>
            <rFont val="Segoe UI"/>
            <family val="2"/>
          </rPr>
          <t xml:space="preserve"> deve ser selecionada na célula ao lado direito.</t>
        </r>
      </text>
    </comment>
    <comment ref="D15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Diâmetro interno</t>
        </r>
        <r>
          <rPr>
            <sz val="9"/>
            <color indexed="81"/>
            <rFont val="Segoe UI"/>
            <family val="2"/>
          </rPr>
          <t xml:space="preserve"> da tubulação.
A </t>
        </r>
        <r>
          <rPr>
            <b/>
            <sz val="9"/>
            <color indexed="81"/>
            <rFont val="Segoe UI"/>
            <family val="2"/>
          </rPr>
          <t>unidade</t>
        </r>
        <r>
          <rPr>
            <sz val="9"/>
            <color indexed="81"/>
            <rFont val="Segoe UI"/>
            <family val="2"/>
          </rPr>
          <t xml:space="preserve"> deve ser selecionada na célula ao lado direito.</t>
        </r>
      </text>
    </comment>
    <comment ref="D16" authorId="0" shapeId="0" xr:uid="{EC47C888-75BA-4D45-A715-D6F0D1913A6D}">
      <text>
        <r>
          <rPr>
            <b/>
            <sz val="9"/>
            <color indexed="81"/>
            <rFont val="Segoe UI"/>
            <family val="2"/>
          </rPr>
          <t>Cota</t>
        </r>
        <r>
          <rPr>
            <sz val="9"/>
            <color indexed="81"/>
            <rFont val="Segoe UI"/>
            <family val="2"/>
          </rPr>
          <t xml:space="preserve"> do ponto à </t>
        </r>
        <r>
          <rPr>
            <b/>
            <sz val="9"/>
            <color indexed="81"/>
            <rFont val="Segoe UI"/>
            <family val="2"/>
          </rPr>
          <t>montante</t>
        </r>
        <r>
          <rPr>
            <sz val="9"/>
            <color indexed="81"/>
            <rFont val="Segoe UI"/>
            <family val="2"/>
          </rPr>
          <t xml:space="preserve"> (início) do trecho de duto considerado.
Esse dado será utilizado </t>
        </r>
        <r>
          <rPr>
            <b/>
            <sz val="9"/>
            <color indexed="81"/>
            <rFont val="Segoe UI"/>
            <family val="2"/>
          </rPr>
          <t>apenas</t>
        </r>
        <r>
          <rPr>
            <sz val="9"/>
            <color indexed="81"/>
            <rFont val="Segoe UI"/>
            <family val="2"/>
          </rPr>
          <t xml:space="preserve"> para o cálculo da </t>
        </r>
        <r>
          <rPr>
            <b/>
            <sz val="9"/>
            <color indexed="81"/>
            <rFont val="Segoe UI"/>
            <family val="2"/>
          </rPr>
          <t>variação da pressão</t>
        </r>
        <r>
          <rPr>
            <sz val="9"/>
            <color indexed="81"/>
            <rFont val="Segoe UI"/>
            <family val="2"/>
          </rPr>
          <t>.</t>
        </r>
      </text>
    </comment>
    <comment ref="D17" authorId="0" shapeId="0" xr:uid="{4ABE5665-DB68-41A6-AC1C-8B15CE395A37}">
      <text>
        <r>
          <rPr>
            <b/>
            <sz val="9"/>
            <color indexed="81"/>
            <rFont val="Segoe UI"/>
            <family val="2"/>
          </rPr>
          <t>Cota</t>
        </r>
        <r>
          <rPr>
            <sz val="9"/>
            <color indexed="81"/>
            <rFont val="Segoe UI"/>
            <family val="2"/>
          </rPr>
          <t xml:space="preserve"> do ponto à </t>
        </r>
        <r>
          <rPr>
            <b/>
            <sz val="9"/>
            <color indexed="81"/>
            <rFont val="Segoe UI"/>
            <family val="2"/>
          </rPr>
          <t>jusante</t>
        </r>
        <r>
          <rPr>
            <sz val="9"/>
            <color indexed="81"/>
            <rFont val="Segoe UI"/>
            <family val="2"/>
          </rPr>
          <t xml:space="preserve"> (final) do trecho de duto considerado.
Esse dado será utilizado </t>
        </r>
        <r>
          <rPr>
            <b/>
            <sz val="9"/>
            <color indexed="81"/>
            <rFont val="Segoe UI"/>
            <family val="2"/>
          </rPr>
          <t>apenas</t>
        </r>
        <r>
          <rPr>
            <sz val="9"/>
            <color indexed="81"/>
            <rFont val="Segoe UI"/>
            <family val="2"/>
          </rPr>
          <t xml:space="preserve"> para o cálculo da </t>
        </r>
        <r>
          <rPr>
            <b/>
            <sz val="9"/>
            <color indexed="81"/>
            <rFont val="Segoe UI"/>
            <family val="2"/>
          </rPr>
          <t>variação da pressão</t>
        </r>
        <r>
          <rPr>
            <sz val="9"/>
            <color indexed="81"/>
            <rFont val="Segoe UI"/>
            <family val="2"/>
          </rPr>
          <t xml:space="preserve">.
</t>
        </r>
      </text>
    </comment>
    <comment ref="D18" authorId="0" shapeId="0" xr:uid="{00000000-0006-0000-0000-000009000000}">
      <text>
        <r>
          <rPr>
            <sz val="9"/>
            <color indexed="81"/>
            <rFont val="Segoe UI"/>
            <family val="2"/>
          </rPr>
          <t xml:space="preserve">A </t>
        </r>
        <r>
          <rPr>
            <b/>
            <sz val="9"/>
            <color indexed="81"/>
            <rFont val="Segoe UI"/>
            <family val="2"/>
          </rPr>
          <t>rugosidade absoluta</t>
        </r>
        <r>
          <rPr>
            <sz val="9"/>
            <color indexed="81"/>
            <rFont val="Segoe UI"/>
            <family val="2"/>
          </rPr>
          <t xml:space="preserve"> deve ser fornecida caso a fórmula de cálculo selecionada na célula "C21" seja </t>
        </r>
        <r>
          <rPr>
            <b/>
            <sz val="9"/>
            <color indexed="81"/>
            <rFont val="Segoe UI"/>
            <family val="2"/>
          </rPr>
          <t>Darcy-Weisbach</t>
        </r>
        <r>
          <rPr>
            <sz val="9"/>
            <color indexed="81"/>
            <rFont val="Segoe UI"/>
            <family val="2"/>
          </rPr>
          <t xml:space="preserve">.
Na </t>
        </r>
        <r>
          <rPr>
            <b/>
            <sz val="9"/>
            <color indexed="81"/>
            <rFont val="Segoe UI"/>
            <family val="2"/>
          </rPr>
          <t>tabela ao lado</t>
        </r>
        <r>
          <rPr>
            <sz val="9"/>
            <color indexed="81"/>
            <rFont val="Segoe UI"/>
            <family val="2"/>
          </rPr>
          <t xml:space="preserve"> são fornecidos os valores da rugosidade para os materiais mais comuns.
A </t>
        </r>
        <r>
          <rPr>
            <b/>
            <sz val="9"/>
            <color indexed="81"/>
            <rFont val="Segoe UI"/>
            <family val="2"/>
          </rPr>
          <t>unidade</t>
        </r>
        <r>
          <rPr>
            <sz val="9"/>
            <color indexed="81"/>
            <rFont val="Segoe UI"/>
            <family val="2"/>
          </rPr>
          <t xml:space="preserve"> deve ser selecionada na célula ao lado direito.</t>
        </r>
      </text>
    </comment>
    <comment ref="D19" authorId="0" shapeId="0" xr:uid="{00000000-0006-0000-0000-00000A000000}">
      <text>
        <r>
          <rPr>
            <sz val="9"/>
            <color indexed="81"/>
            <rFont val="Segoe UI"/>
            <family val="2"/>
          </rPr>
          <t xml:space="preserve">O </t>
        </r>
        <r>
          <rPr>
            <b/>
            <sz val="9"/>
            <color indexed="81"/>
            <rFont val="Segoe UI"/>
            <family val="2"/>
          </rPr>
          <t>coeficiente C</t>
        </r>
        <r>
          <rPr>
            <sz val="9"/>
            <color indexed="81"/>
            <rFont val="Segoe UI"/>
            <family val="2"/>
          </rPr>
          <t xml:space="preserve"> deve ser fornecido caso a fórmula de cálculo selecionada na célula "C21" seja </t>
        </r>
        <r>
          <rPr>
            <b/>
            <sz val="9"/>
            <color indexed="81"/>
            <rFont val="Segoe UI"/>
            <family val="2"/>
          </rPr>
          <t>Hazen-Williams</t>
        </r>
        <r>
          <rPr>
            <sz val="9"/>
            <color indexed="81"/>
            <rFont val="Segoe UI"/>
            <family val="2"/>
          </rPr>
          <t xml:space="preserve">.
Na </t>
        </r>
        <r>
          <rPr>
            <b/>
            <sz val="9"/>
            <color indexed="81"/>
            <rFont val="Segoe UI"/>
            <family val="2"/>
          </rPr>
          <t>tabela ao lado</t>
        </r>
        <r>
          <rPr>
            <sz val="9"/>
            <color indexed="81"/>
            <rFont val="Segoe UI"/>
            <family val="2"/>
          </rPr>
          <t xml:space="preserve"> são fornecidos os valores de C para os materiais mais comuns.</t>
        </r>
      </text>
    </comment>
    <comment ref="D20" authorId="0" shapeId="0" xr:uid="{10F5F152-4212-4956-A632-49EFC1560BCC}">
      <text>
        <r>
          <rPr>
            <sz val="9"/>
            <color indexed="81"/>
            <rFont val="Segoe UI"/>
            <family val="2"/>
          </rPr>
          <t xml:space="preserve">Somatório dos </t>
        </r>
        <r>
          <rPr>
            <b/>
            <sz val="9"/>
            <color indexed="81"/>
            <rFont val="Segoe UI"/>
            <family val="2"/>
          </rPr>
          <t>coeficientes de perda de carga localizada K</t>
        </r>
        <r>
          <rPr>
            <sz val="9"/>
            <color indexed="81"/>
            <rFont val="Segoe UI"/>
            <family val="2"/>
          </rPr>
          <t xml:space="preserve"> de todos os acessórios (ex.: tês, curvas e válvuas) ao longo do trecho calculado.
É utilizado na </t>
        </r>
        <r>
          <rPr>
            <b/>
            <sz val="9"/>
            <color indexed="81"/>
            <rFont val="Segoe UI"/>
            <family val="2"/>
          </rPr>
          <t>fórmula cinética</t>
        </r>
        <r>
          <rPr>
            <sz val="9"/>
            <color indexed="81"/>
            <rFont val="Segoe UI"/>
            <family val="2"/>
          </rPr>
          <t xml:space="preserve"> h = K V²/2g.</t>
        </r>
      </text>
    </comment>
    <comment ref="D21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Viscosidade dinâmica</t>
        </r>
        <r>
          <rPr>
            <sz val="9"/>
            <color indexed="81"/>
            <rFont val="Segoe UI"/>
            <family val="2"/>
          </rPr>
          <t xml:space="preserve"> do fluido no interior da tubulação (0,001 kg/m.s para água).
A </t>
        </r>
        <r>
          <rPr>
            <b/>
            <sz val="9"/>
            <color indexed="81"/>
            <rFont val="Segoe UI"/>
            <family val="2"/>
          </rPr>
          <t>unidade</t>
        </r>
        <r>
          <rPr>
            <sz val="9"/>
            <color indexed="81"/>
            <rFont val="Segoe UI"/>
            <family val="2"/>
          </rPr>
          <t xml:space="preserve"> deve ser selecionada na célula ao lado direito.</t>
        </r>
      </text>
    </comment>
    <comment ref="D22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>Massa específica</t>
        </r>
        <r>
          <rPr>
            <sz val="9"/>
            <color indexed="81"/>
            <rFont val="Segoe UI"/>
            <family val="2"/>
          </rPr>
          <t xml:space="preserve"> do fluido no interior da tubulação (998 kg/m3 para água).
A </t>
        </r>
        <r>
          <rPr>
            <b/>
            <sz val="9"/>
            <color indexed="81"/>
            <rFont val="Segoe UI"/>
            <family val="2"/>
          </rPr>
          <t>unidade</t>
        </r>
        <r>
          <rPr>
            <sz val="9"/>
            <color indexed="81"/>
            <rFont val="Segoe UI"/>
            <family val="2"/>
          </rPr>
          <t xml:space="preserve"> deve ser selecionada na célula ao lado direito.</t>
        </r>
      </text>
    </comment>
    <comment ref="C25" authorId="0" shapeId="0" xr:uid="{00000000-0006-0000-0000-00000D000000}">
      <text>
        <r>
          <rPr>
            <b/>
            <sz val="9"/>
            <color indexed="81"/>
            <rFont val="Segoe UI"/>
            <family val="2"/>
          </rPr>
          <t>Fórmula</t>
        </r>
        <r>
          <rPr>
            <sz val="9"/>
            <color indexed="81"/>
            <rFont val="Segoe UI"/>
            <family val="2"/>
          </rPr>
          <t xml:space="preserve"> utilizada para o cálculo da </t>
        </r>
        <r>
          <rPr>
            <b/>
            <sz val="9"/>
            <color indexed="81"/>
            <rFont val="Segoe UI"/>
            <family val="2"/>
          </rPr>
          <t>perda de carga</t>
        </r>
        <r>
          <rPr>
            <sz val="9"/>
            <color indexed="81"/>
            <rFont val="Segoe UI"/>
            <family val="2"/>
          </rPr>
          <t>. 
Selecione entre as disponíveis, clicando na seta ao lado.</t>
        </r>
      </text>
    </comment>
    <comment ref="D26" authorId="0" shapeId="0" xr:uid="{00000000-0006-0000-0000-00000E000000}">
      <text>
        <r>
          <rPr>
            <b/>
            <sz val="9"/>
            <color indexed="81"/>
            <rFont val="Segoe UI"/>
            <family val="2"/>
          </rPr>
          <t>Perda de carga unitária</t>
        </r>
        <r>
          <rPr>
            <sz val="9"/>
            <color indexed="81"/>
            <rFont val="Segoe UI"/>
            <family val="2"/>
          </rPr>
          <t xml:space="preserve"> calculada pela fórmula selecionada na célula superior a partir dos </t>
        </r>
        <r>
          <rPr>
            <b/>
            <sz val="9"/>
            <color indexed="81"/>
            <rFont val="Segoe UI"/>
            <family val="2"/>
          </rPr>
          <t>dados de entrada</t>
        </r>
        <r>
          <rPr>
            <sz val="9"/>
            <color indexed="81"/>
            <rFont val="Segoe UI"/>
            <family val="2"/>
          </rPr>
          <t xml:space="preserve"> fornecidos.</t>
        </r>
      </text>
    </comment>
    <comment ref="D27" authorId="0" shapeId="0" xr:uid="{00000000-0006-0000-0000-00000F000000}">
      <text>
        <r>
          <rPr>
            <b/>
            <sz val="9"/>
            <color indexed="81"/>
            <rFont val="Segoe UI"/>
            <family val="2"/>
          </rPr>
          <t xml:space="preserve">Perda de carga absoluta </t>
        </r>
        <r>
          <rPr>
            <sz val="9"/>
            <color indexed="81"/>
            <rFont val="Segoe UI"/>
            <family val="2"/>
          </rPr>
          <t xml:space="preserve">calculada pela fórmula selecionada na célula superior a partir dos </t>
        </r>
        <r>
          <rPr>
            <b/>
            <sz val="9"/>
            <color indexed="81"/>
            <rFont val="Segoe UI"/>
            <family val="2"/>
          </rPr>
          <t>dados de entrada</t>
        </r>
        <r>
          <rPr>
            <sz val="9"/>
            <color indexed="81"/>
            <rFont val="Segoe UI"/>
            <family val="2"/>
          </rPr>
          <t xml:space="preserve"> fornecidos.</t>
        </r>
      </text>
    </comment>
    <comment ref="D30" authorId="0" shapeId="0" xr:uid="{00000000-0006-0000-0000-000010000000}">
      <text>
        <r>
          <rPr>
            <b/>
            <sz val="9"/>
            <color indexed="81"/>
            <rFont val="Segoe UI"/>
            <family val="2"/>
          </rPr>
          <t xml:space="preserve">Variação da pressão:
</t>
        </r>
        <r>
          <rPr>
            <sz val="9"/>
            <color indexed="81"/>
            <rFont val="Segoe UI"/>
            <family val="2"/>
          </rPr>
          <t>Valor da queda de pressão, calculado com base nas cotas de montante e jusante informadas e na perda de carga.</t>
        </r>
      </text>
    </comment>
  </commentList>
</comments>
</file>

<file path=xl/sharedStrings.xml><?xml version="1.0" encoding="utf-8"?>
<sst xmlns="http://schemas.openxmlformats.org/spreadsheetml/2006/main" count="422" uniqueCount="271">
  <si>
    <t>m/s</t>
  </si>
  <si>
    <t>m</t>
  </si>
  <si>
    <t>kg/m³</t>
  </si>
  <si>
    <t>m²</t>
  </si>
  <si>
    <t>m³/s</t>
  </si>
  <si>
    <t>Hazen-Williams</t>
  </si>
  <si>
    <t>Fair-Whipple-Hsiao</t>
  </si>
  <si>
    <t>m/m</t>
  </si>
  <si>
    <t>(Aço galvanizado novo)</t>
  </si>
  <si>
    <t>mm</t>
  </si>
  <si>
    <t>Swamee-Jain</t>
  </si>
  <si>
    <t>Swamee</t>
  </si>
  <si>
    <t>Colebrook-White</t>
  </si>
  <si>
    <t>Hazem-Williams</t>
  </si>
  <si>
    <t>Fair-Whipple-Hsiao (aço galvanizado novo)</t>
  </si>
  <si>
    <t>Re =</t>
  </si>
  <si>
    <t>A =</t>
  </si>
  <si>
    <r>
      <rPr>
        <sz val="11"/>
        <color theme="1"/>
        <rFont val="Symbol"/>
        <family val="1"/>
        <charset val="2"/>
      </rPr>
      <t xml:space="preserve">e 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</si>
  <si>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theme="1"/>
        <rFont val="Symbol"/>
        <family val="1"/>
        <charset val="2"/>
      </rPr>
      <t>e</t>
    </r>
    <r>
      <rPr>
        <sz val="11"/>
        <color theme="1"/>
        <rFont val="Calibri"/>
        <family val="2"/>
        <scheme val="minor"/>
      </rPr>
      <t>/D =</t>
    </r>
  </si>
  <si>
    <t>f =</t>
  </si>
  <si>
    <t>J =</t>
  </si>
  <si>
    <t>C =</t>
  </si>
  <si>
    <t>(PVC rígido)</t>
  </si>
  <si>
    <t>kg/m.s</t>
  </si>
  <si>
    <t>pol</t>
  </si>
  <si>
    <t>Comprimento da tubulação</t>
  </si>
  <si>
    <t>L =</t>
  </si>
  <si>
    <t>Rugosidade absoluta</t>
  </si>
  <si>
    <t>Coeficiente de Hazen-Williams</t>
  </si>
  <si>
    <t>Viscosidade dinâmica</t>
  </si>
  <si>
    <t>Massa específica</t>
  </si>
  <si>
    <t>Número de Reynolds</t>
  </si>
  <si>
    <t>Área da seção interna</t>
  </si>
  <si>
    <t>Vazão volumétrica</t>
  </si>
  <si>
    <t>Rugosidade relativa</t>
  </si>
  <si>
    <t>FORMULÁRIO:</t>
  </si>
  <si>
    <r>
      <t>1/</t>
    </r>
    <r>
      <rPr>
        <sz val="11"/>
        <color theme="1"/>
        <rFont val="Symbol"/>
        <family val="1"/>
        <charset val="2"/>
      </rPr>
      <t xml:space="preserve"> Ö</t>
    </r>
    <r>
      <rPr>
        <sz val="11"/>
        <color theme="1"/>
        <rFont val="Calibri"/>
        <family val="2"/>
        <scheme val="minor"/>
      </rPr>
      <t>f</t>
    </r>
  </si>
  <si>
    <t>Iteração</t>
  </si>
  <si>
    <t>Valor</t>
  </si>
  <si>
    <t>Iterações para cálculo de Colebrook-White</t>
  </si>
  <si>
    <t>Fair-Whipple-Hsiao (PVC rígido - água fria)</t>
  </si>
  <si>
    <t>Laboratório de Hidráulica - HIDROUFF</t>
  </si>
  <si>
    <t>Universidade Federal Fluminense - UFF</t>
  </si>
  <si>
    <t>Escola de Engenharia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</si>
  <si>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 xml:space="preserve"> =</t>
    </r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</si>
  <si>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 xml:space="preserve"> =</t>
    </r>
  </si>
  <si>
    <t>Darcy-Weisbach</t>
  </si>
  <si>
    <t>Prof. Gabriel Nascimento (gabrielcn@id.uff.br)</t>
  </si>
  <si>
    <t>Fator de atrito</t>
  </si>
  <si>
    <t>Perda de carga unitária</t>
  </si>
  <si>
    <t>Perda de carga (absoluta)</t>
  </si>
  <si>
    <t>Dados de entrada</t>
  </si>
  <si>
    <t>L/s</t>
  </si>
  <si>
    <t>Unidade</t>
  </si>
  <si>
    <t>Fator</t>
  </si>
  <si>
    <t>cm/s</t>
  </si>
  <si>
    <t>cm/h</t>
  </si>
  <si>
    <t>cm/min</t>
  </si>
  <si>
    <t>Velocidade (m/s)</t>
  </si>
  <si>
    <t>Vazão (m³/s)</t>
  </si>
  <si>
    <t>m³/h</t>
  </si>
  <si>
    <t>L/min</t>
  </si>
  <si>
    <t>L/h</t>
  </si>
  <si>
    <t>Comprimento (m)</t>
  </si>
  <si>
    <t>cm</t>
  </si>
  <si>
    <t>km</t>
  </si>
  <si>
    <t>Diâmetro (m)</t>
  </si>
  <si>
    <t>Diâmetro interno</t>
  </si>
  <si>
    <t>Viscosidade (kg/m.s)</t>
  </si>
  <si>
    <t>Pa.s</t>
  </si>
  <si>
    <t>Poise</t>
  </si>
  <si>
    <t>cPoise</t>
  </si>
  <si>
    <t>Massa Esp. (kg/m³)</t>
  </si>
  <si>
    <t>ton/m³</t>
  </si>
  <si>
    <t>Área (m²)</t>
  </si>
  <si>
    <t>cm²</t>
  </si>
  <si>
    <t>pol²</t>
  </si>
  <si>
    <t>mm²</t>
  </si>
  <si>
    <t>m/100m</t>
  </si>
  <si>
    <t>m/km</t>
  </si>
  <si>
    <t>Perda de Carga Unit. (m/m)</t>
  </si>
  <si>
    <t>m.c.a.</t>
  </si>
  <si>
    <t>mH2O</t>
  </si>
  <si>
    <t>mmH2O</t>
  </si>
  <si>
    <t>mmHg</t>
  </si>
  <si>
    <t>cmH2O</t>
  </si>
  <si>
    <t>cmHg</t>
  </si>
  <si>
    <t>bar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</si>
  <si>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</rPr>
      <t>H =</t>
    </r>
  </si>
  <si>
    <t>Parâmetros de cálculo</t>
  </si>
  <si>
    <t>RESULTADO - PERDA DE CARGA CALCULADA</t>
  </si>
  <si>
    <t>Darcy-Weisbach (Swamee-Jain)</t>
  </si>
  <si>
    <t>Darcy-Weisbach (Swamee)</t>
  </si>
  <si>
    <t>Darcy-Weisbach (Colebrook-White)</t>
  </si>
  <si>
    <t>FÓRMULAS PARA CÁLCULO DA PERDA DE CARGA</t>
  </si>
  <si>
    <t>Fórmula</t>
  </si>
  <si>
    <t>RESULTADOS</t>
  </si>
  <si>
    <t>LINHA DA ABA "Calculo" (Coluna K)</t>
  </si>
  <si>
    <t>Valores para o coeficiente de perda de carga</t>
  </si>
  <si>
    <t>C (H-W)</t>
  </si>
  <si>
    <t>Aço comercial novo</t>
  </si>
  <si>
    <t>0,045</t>
  </si>
  <si>
    <t>Aço laminado novo</t>
  </si>
  <si>
    <t>0,04 a 0,10</t>
  </si>
  <si>
    <t>Aço soldado novo</t>
  </si>
  <si>
    <t>0,05 a 0,10</t>
  </si>
  <si>
    <t>Aço soldado limpo, usado</t>
  </si>
  <si>
    <t>0,15 a 0,20</t>
  </si>
  <si>
    <t>Aço soldado moderadamente oxidado</t>
  </si>
  <si>
    <t>0,4</t>
  </si>
  <si>
    <t>Aço soldado revestido de cimento centrifugado</t>
  </si>
  <si>
    <t>0,1</t>
  </si>
  <si>
    <t>Aço laminado revestido de asfalto</t>
  </si>
  <si>
    <t>0,05</t>
  </si>
  <si>
    <t>Aço rebitado novo</t>
  </si>
  <si>
    <t>1 a 3</t>
  </si>
  <si>
    <t>Aço rebitado em uso</t>
  </si>
  <si>
    <t>Aço galvanizado, com costura</t>
  </si>
  <si>
    <t>Aço galvanizado, sem costura</t>
  </si>
  <si>
    <t>0,06 a 0,15</t>
  </si>
  <si>
    <t>Ferro forjado</t>
  </si>
  <si>
    <t>Ferro fundido novo</t>
  </si>
  <si>
    <t>0,25 a 0,50</t>
  </si>
  <si>
    <t>Ferro fundido com leve oxidação</t>
  </si>
  <si>
    <t>0,3</t>
  </si>
  <si>
    <t>Ferro fundido velho</t>
  </si>
  <si>
    <t>3 a 5</t>
  </si>
  <si>
    <t>Ferro fundido centrifugado</t>
  </si>
  <si>
    <t>Ferro fundido em uso com cimento centrifugado</t>
  </si>
  <si>
    <t>Ferro fundido com revestimento asfáltico</t>
  </si>
  <si>
    <t>0,12 a 0,20</t>
  </si>
  <si>
    <t>Ferro fundido oxidado</t>
  </si>
  <si>
    <t>1 a 1,5</t>
  </si>
  <si>
    <t>Cimento amianto novo</t>
  </si>
  <si>
    <t>0,025</t>
  </si>
  <si>
    <t>Concreto centrifugado novo</t>
  </si>
  <si>
    <t>0,16</t>
  </si>
  <si>
    <t>Concreto armado liso, vários anos de uso</t>
  </si>
  <si>
    <t>0,20 a 0,30</t>
  </si>
  <si>
    <t>Concreto com acabamento normal</t>
  </si>
  <si>
    <t>Concreto protendido Freyssinel</t>
  </si>
  <si>
    <t>0,04</t>
  </si>
  <si>
    <t>Cobre, latão, aço revestido de epoxi, PVC, plásticos em geral, tubos extrudados</t>
  </si>
  <si>
    <t>0,0015 a 0,010</t>
  </si>
  <si>
    <t>Aço corrugado (chapa ondulada)</t>
  </si>
  <si>
    <t>Aço com juntas lock-bar, em serviço</t>
  </si>
  <si>
    <t>Aço rebilado, tubos novos</t>
  </si>
  <si>
    <t>Aço soldado, tubos novos</t>
  </si>
  <si>
    <t>Aço soldado com revestimento especial</t>
  </si>
  <si>
    <t>Concreto, bom acabamento</t>
  </si>
  <si>
    <t>Ferro fundido, novos</t>
  </si>
  <si>
    <t>Ferro fundido, usados</t>
  </si>
  <si>
    <t>Madeiras cm aduelas</t>
  </si>
  <si>
    <t>Aço com juntas lock-bar, tubos novos</t>
  </si>
  <si>
    <t>Aço galvanizado</t>
  </si>
  <si>
    <t>Aço rebitado, em uso</t>
  </si>
  <si>
    <t>Aço soldado, cm uso</t>
  </si>
  <si>
    <t>Cobre</t>
  </si>
  <si>
    <t>Concreto, acabamento comum</t>
  </si>
  <si>
    <t>Ferro fundido, após 15-20 anos de uso</t>
  </si>
  <si>
    <t>Ferro fundido revestido de cimento</t>
  </si>
  <si>
    <t>Tubos extrudados, P.V.C.</t>
  </si>
  <si>
    <r>
      <t xml:space="preserve">Saída de resultados </t>
    </r>
    <r>
      <rPr>
        <sz val="11"/>
        <color theme="1"/>
        <rFont val="Symbol"/>
        <family val="1"/>
        <charset val="2"/>
      </rPr>
      <t xml:space="preserve"> ¬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mbol"/>
        <family val="1"/>
        <charset val="2"/>
      </rPr>
      <t xml:space="preserve">  </t>
    </r>
  </si>
  <si>
    <r>
      <t xml:space="preserve">Entrada de dados </t>
    </r>
    <r>
      <rPr>
        <sz val="11"/>
        <color theme="1"/>
        <rFont val="Symbol"/>
        <family val="1"/>
        <charset val="2"/>
      </rPr>
      <t xml:space="preserve"> ®</t>
    </r>
  </si>
  <si>
    <t>Laminar</t>
  </si>
  <si>
    <t>Darcy-Weisbach (Universal)</t>
  </si>
  <si>
    <t>Blasius (turbulento liso, aproximada):</t>
  </si>
  <si>
    <t>Prandtl (turbulento liso)</t>
  </si>
  <si>
    <t>Iterações para cálculo de Prandtl</t>
  </si>
  <si>
    <t>Classificação</t>
  </si>
  <si>
    <t>Velocidade de atrito</t>
  </si>
  <si>
    <t>u*=</t>
  </si>
  <si>
    <t>Blasius (turbulento liso, aproximada)</t>
  </si>
  <si>
    <t>Nikuradse (totalmente rugoso)</t>
  </si>
  <si>
    <t>Reynolds de rugosidade</t>
  </si>
  <si>
    <t>Número de Reynolds de rugosidade</t>
  </si>
  <si>
    <r>
      <rPr>
        <sz val="11"/>
        <color theme="1"/>
        <rFont val="Symbol"/>
        <family val="1"/>
        <charset val="2"/>
      </rPr>
      <t>e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=</t>
    </r>
  </si>
  <si>
    <t>Subclassificação</t>
  </si>
  <si>
    <t>Haaland</t>
  </si>
  <si>
    <t>Darcy-Weisbach (Haaland)</t>
  </si>
  <si>
    <t>Equação selecionada</t>
  </si>
  <si>
    <t>(variável)</t>
  </si>
  <si>
    <t>Variável (eq. escolhida por regime)</t>
  </si>
  <si>
    <t>Swamee-Jain (turbulento, aproximada)</t>
  </si>
  <si>
    <t>Swamee (geral, aproximada)</t>
  </si>
  <si>
    <t>Haaland (turbulento, aproximada)</t>
  </si>
  <si>
    <t>Colebrook-White (turbulento)</t>
  </si>
  <si>
    <t>Nikuradse (turbulento totalmente rugoso)</t>
  </si>
  <si>
    <t>Flamant</t>
  </si>
  <si>
    <t>(ferro ou aço usados)</t>
  </si>
  <si>
    <t>(PVC)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</si>
  <si>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</rPr>
      <t>p =</t>
    </r>
  </si>
  <si>
    <t>Pa</t>
  </si>
  <si>
    <t>Pressão (Pa)</t>
  </si>
  <si>
    <t>Hazen-Williams (água)</t>
  </si>
  <si>
    <t>Fair-Whipple-Hsiao (água - aço galvanizado novo)</t>
  </si>
  <si>
    <t>Fair-Whipple-Hsiao (água - PVC rígido)</t>
  </si>
  <si>
    <t>Flamant (água - ferro ou aço usado)</t>
  </si>
  <si>
    <t>Flamant (água - PVC)</t>
  </si>
  <si>
    <t>cm.c.a.</t>
  </si>
  <si>
    <t>mm.c.a.</t>
  </si>
  <si>
    <t>bpd</t>
  </si>
  <si>
    <t>kbpd</t>
  </si>
  <si>
    <t>Vazão</t>
  </si>
  <si>
    <t>Perda de carga distribuída (unitária)</t>
  </si>
  <si>
    <t>Perda de carga distribuída (absoluta)</t>
  </si>
  <si>
    <t>Coeficiente de perda localizada</t>
  </si>
  <si>
    <r>
      <rPr>
        <sz val="11"/>
        <color theme="1"/>
        <rFont val="Symbol"/>
        <family val="1"/>
        <charset val="2"/>
      </rPr>
      <t xml:space="preserve"> S</t>
    </r>
    <r>
      <rPr>
        <sz val="11"/>
        <color theme="1"/>
        <rFont val="Calibri"/>
        <family val="2"/>
        <scheme val="minor"/>
      </rPr>
      <t>K =</t>
    </r>
  </si>
  <si>
    <t>Perda de carga localizada</t>
  </si>
  <si>
    <t>Perda de carga total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</si>
  <si>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</rPr>
      <t>H</t>
    </r>
    <r>
      <rPr>
        <vertAlign val="subscript"/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 xml:space="preserve"> 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</si>
  <si>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</rPr>
      <t>H</t>
    </r>
    <r>
      <rPr>
        <vertAlign val="subscript"/>
        <sz val="11"/>
        <color theme="1"/>
        <rFont val="Calibri"/>
        <family val="2"/>
      </rPr>
      <t>L</t>
    </r>
    <r>
      <rPr>
        <sz val="11"/>
        <color theme="1"/>
        <rFont val="Calibri"/>
        <family val="2"/>
      </rPr>
      <t xml:space="preserve"> =</t>
    </r>
  </si>
  <si>
    <r>
      <t>D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=</t>
    </r>
  </si>
  <si>
    <t>Cota do ponto de montante</t>
  </si>
  <si>
    <t>Cota do ponto de jusante</t>
  </si>
  <si>
    <r>
      <t>z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</si>
  <si>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r>
      <t>z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</si>
  <si>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r>
      <rPr>
        <b/>
        <sz val="11"/>
        <color theme="1"/>
        <rFont val="Symbol"/>
        <family val="1"/>
        <charset val="2"/>
      </rPr>
      <t>e</t>
    </r>
    <r>
      <rPr>
        <b/>
        <sz val="11"/>
        <color theme="1"/>
        <rFont val="Calibri"/>
        <family val="2"/>
        <scheme val="minor"/>
      </rPr>
      <t xml:space="preserve"> em mm (D-W)</t>
    </r>
  </si>
  <si>
    <t>Planílha para cálculo de perda de carga em tubulações (atualizada em Outubro/2020)</t>
  </si>
  <si>
    <t xml:space="preserve"> Perda de carga localizada (fórmula cinética)</t>
  </si>
  <si>
    <t>Coeficiente de perda de carga localizada</t>
  </si>
  <si>
    <t>Acessório</t>
  </si>
  <si>
    <t>K</t>
  </si>
  <si>
    <t>Cotovelo de 90° raio curto</t>
  </si>
  <si>
    <t>0,90</t>
  </si>
  <si>
    <t>Cotovelo de 90° raio longo</t>
  </si>
  <si>
    <t>0,60</t>
  </si>
  <si>
    <t>Cotovelo de 45°</t>
  </si>
  <si>
    <t>0,40</t>
  </si>
  <si>
    <t>Curva de 90°</t>
  </si>
  <si>
    <t>Curva de 45°</t>
  </si>
  <si>
    <t>0,20</t>
  </si>
  <si>
    <t>Curva de retorno, a = 180°</t>
  </si>
  <si>
    <t>2,2</t>
  </si>
  <si>
    <t>Tê, passagem direta</t>
  </si>
  <si>
    <t>0,6 - 0,9</t>
  </si>
  <si>
    <t>Tê, saída lateral</t>
  </si>
  <si>
    <t>1,3 - 2,0</t>
  </si>
  <si>
    <t>Tê, saída bilateral</t>
  </si>
  <si>
    <t>1,8</t>
  </si>
  <si>
    <t>Alargamento gradual</t>
  </si>
  <si>
    <t>0,30*</t>
  </si>
  <si>
    <t>Redução gradual</t>
  </si>
  <si>
    <t>0,15*</t>
  </si>
  <si>
    <t>Medidor Venturi</t>
  </si>
  <si>
    <t>2,5**</t>
  </si>
  <si>
    <t>Válvula de gaveta aberta</t>
  </si>
  <si>
    <t>Válvula de ângulo aberta</t>
  </si>
  <si>
    <t>5,0</t>
  </si>
  <si>
    <t>Válvula de globo aberta</t>
  </si>
  <si>
    <t>Válvula borboleta aberta</t>
  </si>
  <si>
    <t>0,15 - 0,30</t>
  </si>
  <si>
    <t>Válvula de esfera aberta</t>
  </si>
  <si>
    <t>?</t>
  </si>
  <si>
    <t>Válvula de pé</t>
  </si>
  <si>
    <t>1,75</t>
  </si>
  <si>
    <t>Válvula de pé com crivo</t>
  </si>
  <si>
    <t>Válvula de retenção</t>
  </si>
  <si>
    <t>2,5 - 3,0</t>
  </si>
  <si>
    <t>Válvula de bóia</t>
  </si>
  <si>
    <t>Entrada normal</t>
  </si>
  <si>
    <t>0,50</t>
  </si>
  <si>
    <t>Entrada com borda</t>
  </si>
  <si>
    <t>0,8 - 1,0</t>
  </si>
  <si>
    <t>Saída de tubulação</t>
  </si>
  <si>
    <t>1,0</t>
  </si>
  <si>
    <t>* referente à maior velocidade (menor diâmetro)</t>
  </si>
  <si>
    <t>** referente à velocidade na tubulação</t>
  </si>
  <si>
    <t>Obs.:</t>
  </si>
  <si>
    <t>Valores para escoamento turbulento</t>
  </si>
  <si>
    <t>Variação de pressão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</si>
</sst>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0000"/>
    <numFmt numFmtId="166" formatCode="0.000000"/>
    <numFmt numFmtId="167" formatCode="0.0000"/>
    <numFmt numFmtId="168" formatCode="0.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Symbol"/>
      <family val="1"/>
      <charset val="2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1"/>
      <charset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1"/>
      <charset val="2"/>
    </font>
    <font>
      <sz val="11"/>
      <color theme="1"/>
      <name val="Calibri"/>
      <family val="1"/>
      <charset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theme="1"/>
      <name val="Calibri"/>
      <family val="1"/>
      <charset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166" fontId="0" fillId="0" borderId="0" xfId="0" applyNumberFormat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" fillId="0" borderId="0" xfId="0" applyFont="1" applyAlignment="1"/>
    <xf numFmtId="0" fontId="1" fillId="2" borderId="1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4" borderId="0" xfId="0" applyFill="1" applyBorder="1" applyProtection="1">
      <protection locked="0"/>
    </xf>
    <xf numFmtId="0" fontId="0" fillId="2" borderId="5" xfId="0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6" xfId="0" applyFill="1" applyBorder="1" applyProtection="1"/>
    <xf numFmtId="165" fontId="0" fillId="5" borderId="0" xfId="0" applyNumberFormat="1" applyFill="1" applyBorder="1" applyProtection="1"/>
    <xf numFmtId="11" fontId="0" fillId="5" borderId="0" xfId="0" applyNumberFormat="1" applyFill="1" applyBorder="1" applyProtection="1"/>
    <xf numFmtId="0" fontId="0" fillId="2" borderId="7" xfId="0" applyFill="1" applyBorder="1" applyProtection="1"/>
    <xf numFmtId="0" fontId="0" fillId="2" borderId="8" xfId="0" applyFill="1" applyBorder="1" applyAlignment="1" applyProtection="1">
      <alignment horizontal="right"/>
    </xf>
    <xf numFmtId="0" fontId="0" fillId="4" borderId="0" xfId="0" applyFill="1" applyProtection="1"/>
    <xf numFmtId="0" fontId="0" fillId="5" borderId="0" xfId="0" applyFill="1" applyProtection="1"/>
    <xf numFmtId="0" fontId="0" fillId="5" borderId="16" xfId="0" applyFill="1" applyBorder="1" applyAlignment="1">
      <alignment horizontal="center"/>
    </xf>
    <xf numFmtId="166" fontId="0" fillId="5" borderId="16" xfId="0" applyNumberFormat="1" applyFill="1" applyBorder="1" applyAlignment="1">
      <alignment horizontal="center"/>
    </xf>
    <xf numFmtId="165" fontId="0" fillId="5" borderId="8" xfId="0" applyNumberFormat="1" applyFill="1" applyBorder="1" applyProtection="1"/>
    <xf numFmtId="0" fontId="0" fillId="2" borderId="5" xfId="0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/>
    <xf numFmtId="0" fontId="0" fillId="2" borderId="5" xfId="0" applyFill="1" applyBorder="1" applyAlignment="1" applyProtection="1">
      <alignment vertical="center"/>
    </xf>
    <xf numFmtId="11" fontId="0" fillId="0" borderId="0" xfId="0" applyNumberFormat="1"/>
    <xf numFmtId="0" fontId="0" fillId="4" borderId="11" xfId="0" applyNumberFormat="1" applyFill="1" applyBorder="1" applyProtection="1">
      <protection locked="0"/>
    </xf>
    <xf numFmtId="0" fontId="0" fillId="5" borderId="0" xfId="0" applyNumberFormat="1" applyFill="1" applyBorder="1" applyProtection="1"/>
    <xf numFmtId="0" fontId="0" fillId="5" borderId="8" xfId="0" applyNumberFormat="1" applyFill="1" applyBorder="1" applyProtection="1"/>
    <xf numFmtId="0" fontId="1" fillId="5" borderId="8" xfId="0" applyNumberFormat="1" applyFont="1" applyFill="1" applyBorder="1" applyProtection="1"/>
    <xf numFmtId="0" fontId="0" fillId="4" borderId="10" xfId="0" applyFill="1" applyBorder="1" applyProtection="1">
      <protection locked="0"/>
    </xf>
    <xf numFmtId="0" fontId="5" fillId="2" borderId="7" xfId="0" applyFont="1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right"/>
    </xf>
    <xf numFmtId="165" fontId="0" fillId="2" borderId="0" xfId="0" applyNumberFormat="1" applyFill="1" applyBorder="1" applyAlignment="1" applyProtection="1">
      <alignment horizontal="center"/>
    </xf>
    <xf numFmtId="165" fontId="0" fillId="2" borderId="6" xfId="0" applyNumberFormat="1" applyFill="1" applyBorder="1" applyAlignment="1" applyProtection="1">
      <alignment horizontal="center"/>
    </xf>
    <xf numFmtId="11" fontId="0" fillId="2" borderId="0" xfId="0" applyNumberFormat="1" applyFill="1" applyBorder="1" applyAlignment="1" applyProtection="1">
      <alignment horizontal="center"/>
    </xf>
    <xf numFmtId="11" fontId="0" fillId="2" borderId="6" xfId="0" applyNumberFormat="1" applyFill="1" applyBorder="1" applyAlignment="1" applyProtection="1">
      <alignment horizontal="center"/>
    </xf>
    <xf numFmtId="0" fontId="0" fillId="4" borderId="8" xfId="0" applyFill="1" applyBorder="1" applyProtection="1">
      <protection locked="0"/>
    </xf>
    <xf numFmtId="0" fontId="1" fillId="0" borderId="16" xfId="0" applyFont="1" applyBorder="1"/>
    <xf numFmtId="0" fontId="0" fillId="0" borderId="16" xfId="0" applyBorder="1"/>
    <xf numFmtId="0" fontId="1" fillId="0" borderId="16" xfId="0" applyFont="1" applyBorder="1" applyAlignment="1">
      <alignment horizontal="center"/>
    </xf>
    <xf numFmtId="0" fontId="0" fillId="2" borderId="10" xfId="0" applyFill="1" applyBorder="1" applyProtection="1"/>
    <xf numFmtId="0" fontId="1" fillId="2" borderId="7" xfId="0" applyFont="1" applyFill="1" applyBorder="1" applyProtection="1"/>
    <xf numFmtId="0" fontId="0" fillId="5" borderId="0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0" borderId="0" xfId="0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2" fontId="0" fillId="2" borderId="9" xfId="0" applyNumberFormat="1" applyFill="1" applyBorder="1" applyAlignment="1" applyProtection="1">
      <alignment horizontal="left"/>
    </xf>
    <xf numFmtId="0" fontId="1" fillId="2" borderId="9" xfId="0" applyFont="1" applyFill="1" applyBorder="1" applyProtection="1"/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2" borderId="0" xfId="0" quotePrefix="1" applyFill="1" applyBorder="1" applyAlignment="1" applyProtection="1">
      <alignment horizontal="right"/>
    </xf>
    <xf numFmtId="0" fontId="0" fillId="2" borderId="11" xfId="0" applyFill="1" applyBorder="1" applyProtection="1"/>
    <xf numFmtId="0" fontId="0" fillId="2" borderId="7" xfId="0" applyFill="1" applyBorder="1" applyAlignment="1" applyProtection="1"/>
    <xf numFmtId="0" fontId="0" fillId="0" borderId="8" xfId="0" applyBorder="1" applyProtection="1"/>
    <xf numFmtId="0" fontId="0" fillId="2" borderId="17" xfId="0" applyFill="1" applyBorder="1" applyProtection="1"/>
    <xf numFmtId="0" fontId="0" fillId="2" borderId="1" xfId="0" applyFill="1" applyBorder="1" applyProtection="1"/>
    <xf numFmtId="0" fontId="0" fillId="0" borderId="16" xfId="0" applyFill="1" applyBorder="1"/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168" fontId="0" fillId="5" borderId="0" xfId="0" applyNumberFormat="1" applyFill="1" applyBorder="1" applyProtection="1"/>
    <xf numFmtId="167" fontId="0" fillId="5" borderId="8" xfId="0" applyNumberFormat="1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2" borderId="8" xfId="0" applyFill="1" applyBorder="1" applyProtection="1"/>
    <xf numFmtId="164" fontId="0" fillId="2" borderId="6" xfId="0" applyNumberFormat="1" applyFill="1" applyBorder="1" applyProtection="1">
      <protection locked="0"/>
    </xf>
    <xf numFmtId="0" fontId="0" fillId="0" borderId="0" xfId="0" applyNumberFormat="1" applyFill="1" applyBorder="1"/>
    <xf numFmtId="0" fontId="0" fillId="2" borderId="0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right"/>
    </xf>
    <xf numFmtId="0" fontId="0" fillId="2" borderId="0" xfId="0" applyFill="1" applyProtection="1"/>
    <xf numFmtId="0" fontId="13" fillId="2" borderId="5" xfId="0" applyFont="1" applyFill="1" applyBorder="1" applyProtection="1"/>
    <xf numFmtId="0" fontId="14" fillId="2" borderId="0" xfId="0" applyFont="1" applyFill="1" applyBorder="1" applyAlignment="1" applyProtection="1">
      <alignment horizontal="right"/>
    </xf>
    <xf numFmtId="0" fontId="0" fillId="2" borderId="0" xfId="0" applyFill="1" applyAlignment="1" applyProtection="1">
      <alignment horizontal="center"/>
    </xf>
    <xf numFmtId="0" fontId="0" fillId="5" borderId="8" xfId="0" applyFont="1" applyFill="1" applyBorder="1" applyProtection="1"/>
    <xf numFmtId="0" fontId="13" fillId="4" borderId="0" xfId="0" applyFont="1" applyFill="1" applyBorder="1" applyProtection="1">
      <protection locked="0"/>
    </xf>
    <xf numFmtId="0" fontId="1" fillId="5" borderId="0" xfId="0" applyFont="1" applyFill="1" applyProtection="1"/>
    <xf numFmtId="0" fontId="15" fillId="2" borderId="0" xfId="0" applyFont="1" applyFill="1" applyBorder="1" applyAlignment="1" applyProtection="1">
      <alignment horizontal="right"/>
    </xf>
    <xf numFmtId="0" fontId="0" fillId="5" borderId="0" xfId="0" applyFont="1" applyFill="1" applyBorder="1" applyProtection="1"/>
    <xf numFmtId="0" fontId="0" fillId="5" borderId="0" xfId="0" applyFont="1" applyFill="1" applyProtection="1"/>
    <xf numFmtId="0" fontId="0" fillId="2" borderId="5" xfId="0" applyFont="1" applyFill="1" applyBorder="1" applyProtection="1"/>
    <xf numFmtId="0" fontId="0" fillId="5" borderId="8" xfId="0" applyFill="1" applyBorder="1" applyProtection="1"/>
    <xf numFmtId="0" fontId="0" fillId="4" borderId="0" xfId="0" applyFill="1" applyProtection="1">
      <protection locked="0"/>
    </xf>
    <xf numFmtId="0" fontId="0" fillId="2" borderId="0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165" fontId="0" fillId="5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0" fontId="18" fillId="4" borderId="12" xfId="0" applyFont="1" applyFill="1" applyBorder="1" applyAlignment="1" applyProtection="1">
      <alignment horizontal="left"/>
      <protection locked="0"/>
    </xf>
    <xf numFmtId="0" fontId="0" fillId="5" borderId="0" xfId="0" applyFill="1" applyBorder="1" applyProtection="1">
      <protection locked="0"/>
    </xf>
    <xf numFmtId="0" fontId="0" fillId="2" borderId="0" xfId="0" applyFill="1" applyProtection="1">
      <protection locked="0"/>
    </xf>
    <xf numFmtId="0" fontId="1" fillId="2" borderId="9" xfId="0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right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1" fillId="5" borderId="12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16" xfId="0" applyBorder="1" applyProtection="1"/>
    <xf numFmtId="0" fontId="0" fillId="0" borderId="16" xfId="0" applyBorder="1" applyAlignment="1" applyProtection="1">
      <alignment horizontal="center"/>
    </xf>
    <xf numFmtId="0" fontId="0" fillId="0" borderId="16" xfId="0" applyBorder="1" applyAlignment="1" applyProtection="1">
      <alignment horizontal="left"/>
    </xf>
    <xf numFmtId="0" fontId="0" fillId="0" borderId="16" xfId="0" applyBorder="1" applyAlignment="1" applyProtection="1">
      <alignment horizontal="left" indent="1"/>
    </xf>
    <xf numFmtId="0" fontId="1" fillId="0" borderId="16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left"/>
    </xf>
  </cellXfs>
  <cellStyles count="1">
    <cellStyle name="Normal" xfId="0" builtinId="0"/>
  </cellStyles>
  <dxfs count="11"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2D050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51</xdr:row>
          <xdr:rowOff>7620</xdr:rowOff>
        </xdr:from>
        <xdr:to>
          <xdr:col>1</xdr:col>
          <xdr:colOff>1737360</xdr:colOff>
          <xdr:row>54</xdr:row>
          <xdr:rowOff>144780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57</xdr:row>
          <xdr:rowOff>7620</xdr:rowOff>
        </xdr:from>
        <xdr:to>
          <xdr:col>1</xdr:col>
          <xdr:colOff>3924300</xdr:colOff>
          <xdr:row>60</xdr:row>
          <xdr:rowOff>137160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46</xdr:row>
          <xdr:rowOff>7620</xdr:rowOff>
        </xdr:from>
        <xdr:to>
          <xdr:col>1</xdr:col>
          <xdr:colOff>2240280</xdr:colOff>
          <xdr:row>48</xdr:row>
          <xdr:rowOff>175260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67</xdr:row>
          <xdr:rowOff>0</xdr:rowOff>
        </xdr:from>
        <xdr:to>
          <xdr:col>1</xdr:col>
          <xdr:colOff>2049780</xdr:colOff>
          <xdr:row>69</xdr:row>
          <xdr:rowOff>152400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72</xdr:row>
          <xdr:rowOff>22860</xdr:rowOff>
        </xdr:from>
        <xdr:to>
          <xdr:col>1</xdr:col>
          <xdr:colOff>1607820</xdr:colOff>
          <xdr:row>75</xdr:row>
          <xdr:rowOff>7620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77</xdr:row>
          <xdr:rowOff>22860</xdr:rowOff>
        </xdr:from>
        <xdr:to>
          <xdr:col>1</xdr:col>
          <xdr:colOff>1630680</xdr:colOff>
          <xdr:row>80</xdr:row>
          <xdr:rowOff>22860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7620</xdr:rowOff>
        </xdr:from>
        <xdr:to>
          <xdr:col>1</xdr:col>
          <xdr:colOff>1562100</xdr:colOff>
          <xdr:row>9</xdr:row>
          <xdr:rowOff>182880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0</xdr:rowOff>
        </xdr:from>
        <xdr:to>
          <xdr:col>1</xdr:col>
          <xdr:colOff>1333500</xdr:colOff>
          <xdr:row>24</xdr:row>
          <xdr:rowOff>182880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3</xdr:row>
          <xdr:rowOff>22860</xdr:rowOff>
        </xdr:from>
        <xdr:to>
          <xdr:col>1</xdr:col>
          <xdr:colOff>754380</xdr:colOff>
          <xdr:row>4</xdr:row>
          <xdr:rowOff>83820</xdr:rowOff>
        </xdr:to>
        <xdr:sp macro="" textlink="">
          <xdr:nvSpPr>
            <xdr:cNvPr id="5133" name="Object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0</xdr:rowOff>
        </xdr:from>
        <xdr:to>
          <xdr:col>1</xdr:col>
          <xdr:colOff>1333500</xdr:colOff>
          <xdr:row>29</xdr:row>
          <xdr:rowOff>182880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28576</xdr:colOff>
      <xdr:row>32</xdr:row>
      <xdr:rowOff>0</xdr:rowOff>
    </xdr:from>
    <xdr:to>
      <xdr:col>1</xdr:col>
      <xdr:colOff>2733676</xdr:colOff>
      <xdr:row>35</xdr:row>
      <xdr:rowOff>77652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/>
          </xdr:nvSpPr>
          <xdr:spPr>
            <a:xfrm>
              <a:off x="304801" y="4210050"/>
              <a:ext cx="2705100" cy="649152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pt-BR" sz="1400" b="0" i="1">
                            <a:latin typeface="Cambria Math" panose="02040503050406030204" pitchFamily="18" charset="0"/>
                            <a:cs typeface="Times New Roman" panose="02020603050405020304" pitchFamily="18" charset="0"/>
                          </a:rPr>
                        </m:ctrlPr>
                      </m:fPr>
                      <m:num>
                        <m:r>
                          <a:rPr lang="pt-BR" sz="1400" b="0" i="1">
                            <a:latin typeface="Cambria Math" panose="02040503050406030204" pitchFamily="18" charset="0"/>
                            <a:cs typeface="Times New Roman" panose="02020603050405020304" pitchFamily="18" charset="0"/>
                          </a:rPr>
                          <m:t>1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pt-BR" sz="1400" b="0" i="1">
                                <a:latin typeface="Cambria Math" panose="02040503050406030204" pitchFamily="18" charset="0"/>
                                <a:cs typeface="Times New Roman" panose="020206030504050203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pt-BR" sz="1400" b="0" i="1">
                                <a:latin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𝑓</m:t>
                            </m:r>
                          </m:e>
                        </m:rad>
                      </m:den>
                    </m:f>
                    <m:r>
                      <a:rPr lang="pt-BR" sz="140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=</m:t>
                    </m:r>
                    <m:r>
                      <a:rPr lang="pt-BR" sz="1400" b="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−2,0</m:t>
                    </m:r>
                    <m:r>
                      <a:rPr lang="pt-BR" sz="140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 </m:t>
                    </m:r>
                    <m:r>
                      <a:rPr lang="pt-BR" sz="1400" i="1">
                        <a:latin typeface="Cambria Math" panose="02040503050406030204" pitchFamily="18" charset="0"/>
                        <a:ea typeface="Cambria Math" panose="02040503050406030204" pitchFamily="18" charset="0"/>
                        <a:cs typeface="Times New Roman" panose="02020603050405020304" pitchFamily="18" charset="0"/>
                      </a:rPr>
                      <m:t>𝑙</m:t>
                    </m:r>
                    <m:r>
                      <a:rPr lang="pt-BR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  <a:cs typeface="Times New Roman" panose="02020603050405020304" pitchFamily="18" charset="0"/>
                      </a:rPr>
                      <m:t>𝑜𝑔</m:t>
                    </m:r>
                    <m:d>
                      <m:dPr>
                        <m:ctrlPr>
                          <a:rPr lang="pt-BR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Times New Roman" panose="020206030504050203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</m:ctrlPr>
                          </m:fPr>
                          <m:num>
                            <m:r>
                              <a:rPr lang="pt-B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pt-B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𝑅𝑒</m:t>
                            </m:r>
                            <m:rad>
                              <m:radPr>
                                <m:degHide m:val="on"/>
                                <m:ctrlPr>
                                  <a:rPr lang="pt-BR" sz="1400" i="1">
                                    <a:latin typeface="Cambria Math" panose="02040503050406030204" pitchFamily="18" charset="0"/>
                                    <a:cs typeface="Times New Roman" panose="02020603050405020304" pitchFamily="18" charset="0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pt-BR" sz="1400" i="1">
                                    <a:latin typeface="Cambria Math" panose="02040503050406030204" pitchFamily="18" charset="0"/>
                                    <a:cs typeface="Times New Roman" panose="02020603050405020304" pitchFamily="18" charset="0"/>
                                  </a:rPr>
                                  <m:t>𝑓</m:t>
                                </m:r>
                              </m:e>
                            </m:rad>
                          </m:den>
                        </m:f>
                      </m:e>
                    </m:d>
                    <m:r>
                      <a:rPr lang="pt-BR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  <a:cs typeface="Times New Roman" panose="02020603050405020304" pitchFamily="18" charset="0"/>
                      </a:rPr>
                      <m:t>−0,8</m:t>
                    </m:r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12" name="Retângulo 11"/>
            <xdr:cNvSpPr/>
          </xdr:nvSpPr>
          <xdr:spPr>
            <a:xfrm>
              <a:off x="304801" y="4210050"/>
              <a:ext cx="2705100" cy="649152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400" b="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1/√𝑓</a:t>
              </a:r>
              <a:r>
                <a:rPr lang="pt-BR" sz="14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=</a:t>
              </a:r>
              <a:r>
                <a:rPr lang="pt-BR" sz="1400" b="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−2,0</a:t>
              </a:r>
              <a:r>
                <a:rPr lang="pt-BR" sz="14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 </a:t>
              </a:r>
              <a:r>
                <a:rPr lang="pt-BR" sz="140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𝑙</a:t>
              </a:r>
              <a:r>
                <a:rPr lang="pt-BR" sz="1400" b="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𝑜𝑔</a:t>
              </a:r>
              <a:r>
                <a:rPr lang="pt-BR" sz="140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(</a:t>
              </a:r>
              <a:r>
                <a:rPr lang="pt-BR" sz="1400" b="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1/(𝑅𝑒√</a:t>
              </a:r>
              <a:r>
                <a:rPr lang="pt-BR" sz="14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𝑓</a:t>
              </a:r>
              <a:r>
                <a:rPr lang="pt-BR" sz="1400" b="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))−0,8</a:t>
              </a:r>
              <a:endParaRPr lang="pt-BR" sz="1400"/>
            </a:p>
          </xdr:txBody>
        </xdr:sp>
      </mc:Fallback>
    </mc:AlternateContent>
    <xdr:clientData/>
  </xdr:twoCellAnchor>
  <xdr:twoCellAnchor>
    <xdr:from>
      <xdr:col>1</xdr:col>
      <xdr:colOff>28575</xdr:colOff>
      <xdr:row>37</xdr:row>
      <xdr:rowOff>0</xdr:rowOff>
    </xdr:from>
    <xdr:to>
      <xdr:col>1</xdr:col>
      <xdr:colOff>1790700</xdr:colOff>
      <xdr:row>38</xdr:row>
      <xdr:rowOff>166777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304800" y="5162550"/>
              <a:ext cx="1762125" cy="357277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600" b="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𝑓</m:t>
                    </m:r>
                    <m:r>
                      <a:rPr lang="pt-BR" sz="160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=</m:t>
                    </m:r>
                    <m:r>
                      <a:rPr lang="pt-BR" sz="1600" b="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0,316 </m:t>
                    </m:r>
                    <m:sSup>
                      <m:sSupPr>
                        <m:ctrlPr>
                          <a:rPr lang="pt-BR" sz="1600" b="0" i="1">
                            <a:latin typeface="Cambria Math" panose="02040503050406030204" pitchFamily="18" charset="0"/>
                            <a:cs typeface="Times New Roman" panose="02020603050405020304" pitchFamily="18" charset="0"/>
                          </a:rPr>
                        </m:ctrlPr>
                      </m:sSupPr>
                      <m:e>
                        <m:r>
                          <a:rPr lang="pt-BR" sz="1600" i="1">
                            <a:latin typeface="Cambria Math" panose="02040503050406030204" pitchFamily="18" charset="0"/>
                            <a:cs typeface="Times New Roman" panose="02020603050405020304" pitchFamily="18" charset="0"/>
                          </a:rPr>
                          <m:t>𝑅𝑒</m:t>
                        </m:r>
                      </m:e>
                      <m:sup>
                        <m:r>
                          <a:rPr lang="pt-BR" sz="1600" b="0" i="1">
                            <a:latin typeface="Cambria Math" panose="02040503050406030204" pitchFamily="18" charset="0"/>
                            <a:cs typeface="Times New Roman" panose="02020603050405020304" pitchFamily="18" charset="0"/>
                          </a:rPr>
                          <m:t>−1/4</m:t>
                        </m:r>
                      </m:sup>
                    </m:sSup>
                  </m:oMath>
                </m:oMathPara>
              </a14:m>
              <a:endParaRPr lang="pt-BR"/>
            </a:p>
          </xdr:txBody>
        </xdr:sp>
      </mc:Choice>
      <mc:Fallback xmlns="">
        <xdr:sp macro="" textlink="">
          <xdr:nvSpPr>
            <xdr:cNvPr id="13" name="Retângulo 12"/>
            <xdr:cNvSpPr/>
          </xdr:nvSpPr>
          <xdr:spPr>
            <a:xfrm>
              <a:off x="304800" y="5162550"/>
              <a:ext cx="1762125" cy="357277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600" b="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𝑓</a:t>
              </a:r>
              <a:r>
                <a:rPr lang="pt-BR" sz="16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=</a:t>
              </a:r>
              <a:r>
                <a:rPr lang="pt-BR" sz="1600" b="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0,316 〖</a:t>
              </a:r>
              <a:r>
                <a:rPr lang="pt-BR" sz="16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𝑅𝑒</a:t>
              </a:r>
              <a:r>
                <a:rPr lang="pt-BR" sz="1600" b="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〗^(−1/4)</a:t>
              </a:r>
              <a:endParaRPr lang="pt-BR"/>
            </a:p>
          </xdr:txBody>
        </xdr:sp>
      </mc:Fallback>
    </mc:AlternateContent>
    <xdr:clientData/>
  </xdr:twoCellAnchor>
  <xdr:twoCellAnchor>
    <xdr:from>
      <xdr:col>1</xdr:col>
      <xdr:colOff>28576</xdr:colOff>
      <xdr:row>12</xdr:row>
      <xdr:rowOff>19050</xdr:rowOff>
    </xdr:from>
    <xdr:to>
      <xdr:col>1</xdr:col>
      <xdr:colOff>1647826</xdr:colOff>
      <xdr:row>15</xdr:row>
      <xdr:rowOff>116772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Retângulo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/>
          </xdr:nvSpPr>
          <xdr:spPr>
            <a:xfrm>
              <a:off x="304801" y="2324100"/>
              <a:ext cx="1619250" cy="669222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t-BR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1200" b="0" i="1">
                            <a:latin typeface="Cambria Math" panose="02040503050406030204" pitchFamily="18" charset="0"/>
                          </a:rPr>
                          <m:t>𝑢</m:t>
                        </m:r>
                      </m:e>
                      <m:sup>
                        <m:r>
                          <a:rPr lang="pt-BR" sz="12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p>
                    <m:r>
                      <a:rPr lang="pt-BR" sz="12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pt-BR" sz="12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t-BR" sz="12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pt-BR" sz="120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pt-BR" sz="120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𝜏</m:t>
                                </m:r>
                              </m:e>
                              <m:sub>
                                <m:r>
                                  <a:rPr lang="pt-BR" sz="120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𝑝</m:t>
                                </m:r>
                              </m:sub>
                            </m:sSub>
                          </m:num>
                          <m:den>
                            <m:r>
                              <m:rPr>
                                <m:sty m:val="p"/>
                              </m:rPr>
                              <a:rPr lang="el-GR" sz="12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ρ</m:t>
                            </m:r>
                          </m:den>
                        </m:f>
                      </m:e>
                    </m:rad>
                    <m:r>
                      <a:rPr lang="pt-BR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pt-BR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t-BR" sz="12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2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𝑓</m:t>
                            </m:r>
                          </m:num>
                          <m:den>
                            <m:r>
                              <a:rPr lang="pt-BR" sz="12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8</m:t>
                            </m:r>
                          </m:den>
                        </m:f>
                      </m:e>
                    </m:rad>
                    <m:r>
                      <a:rPr lang="pt-BR" sz="12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pt-BR" sz="12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pt-BR"/>
            </a:p>
          </xdr:txBody>
        </xdr:sp>
      </mc:Choice>
      <mc:Fallback xmlns="">
        <xdr:sp macro="" textlink="">
          <xdr:nvSpPr>
            <xdr:cNvPr id="14" name="Retângulo 13"/>
            <xdr:cNvSpPr/>
          </xdr:nvSpPr>
          <xdr:spPr>
            <a:xfrm>
              <a:off x="304801" y="2324100"/>
              <a:ext cx="1619250" cy="669222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𝑢^∗=</a:t>
              </a:r>
              <a:r>
                <a:rPr lang="pt-BR" sz="1200" i="0">
                  <a:latin typeface="Cambria Math" panose="02040503050406030204" pitchFamily="18" charset="0"/>
                </a:rPr>
                <a:t>√(</a:t>
              </a:r>
              <a:r>
                <a:rPr lang="pt-B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𝜏_𝑝/</a:t>
              </a:r>
              <a:r>
                <a:rPr lang="el-G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ρ</a:t>
              </a:r>
              <a:r>
                <a:rPr lang="pt-B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pt-BR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lang="pt-B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√(𝑓/8)  𝑉</a:t>
              </a:r>
              <a:endParaRPr lang="pt-BR"/>
            </a:p>
          </xdr:txBody>
        </xdr:sp>
      </mc:Fallback>
    </mc:AlternateContent>
    <xdr:clientData/>
  </xdr:twoCellAnchor>
  <xdr:twoCellAnchor>
    <xdr:from>
      <xdr:col>1</xdr:col>
      <xdr:colOff>38100</xdr:colOff>
      <xdr:row>41</xdr:row>
      <xdr:rowOff>0</xdr:rowOff>
    </xdr:from>
    <xdr:to>
      <xdr:col>1</xdr:col>
      <xdr:colOff>1990725</xdr:colOff>
      <xdr:row>44</xdr:row>
      <xdr:rowOff>39180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Retângulo 1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>
            <a:xfrm>
              <a:off x="314325" y="7829550"/>
              <a:ext cx="1952625" cy="610680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400" i="1">
                            <a:latin typeface="Cambria Math" panose="02040503050406030204" pitchFamily="18" charset="0"/>
                            <a:cs typeface="Times New Roman" panose="02020603050405020304" pitchFamily="18" charset="0"/>
                          </a:rPr>
                        </m:ctrlPr>
                      </m:fPr>
                      <m:num>
                        <m:r>
                          <a:rPr lang="pt-BR" sz="1400" i="1">
                            <a:latin typeface="Cambria Math" panose="02040503050406030204" pitchFamily="18" charset="0"/>
                            <a:cs typeface="Times New Roman" panose="02020603050405020304" pitchFamily="18" charset="0"/>
                          </a:rPr>
                          <m:t>1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pt-BR" sz="1400" i="1">
                                <a:latin typeface="Cambria Math" panose="02040503050406030204" pitchFamily="18" charset="0"/>
                                <a:cs typeface="Times New Roman" panose="020206030504050203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pt-BR" sz="1400" i="1">
                                <a:latin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𝑓</m:t>
                            </m:r>
                          </m:e>
                        </m:rad>
                      </m:den>
                    </m:f>
                    <m:r>
                      <a:rPr lang="pt-BR" sz="140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=</m:t>
                    </m:r>
                    <m:r>
                      <a:rPr lang="pt-BR" sz="1400" b="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−</m:t>
                    </m:r>
                    <m:r>
                      <a:rPr lang="pt-BR" sz="140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2,0 </m:t>
                    </m:r>
                    <m:r>
                      <a:rPr lang="pt-BR" sz="1400" i="1">
                        <a:latin typeface="Cambria Math" panose="02040503050406030204" pitchFamily="18" charset="0"/>
                        <a:ea typeface="Cambria Math" panose="02040503050406030204" pitchFamily="18" charset="0"/>
                        <a:cs typeface="Times New Roman" panose="02020603050405020304" pitchFamily="18" charset="0"/>
                      </a:rPr>
                      <m:t>𝑙𝑜𝑔</m:t>
                    </m:r>
                    <m:d>
                      <m:dPr>
                        <m:ctrlPr>
                          <a:rPr lang="pt-BR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Times New Roman" panose="020206030504050203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4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</m:ctrlPr>
                          </m:fPr>
                          <m:num>
                            <m:r>
                              <a:rPr lang="pt-BR" sz="14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𝜀</m:t>
                            </m:r>
                            <m:r>
                              <a:rPr lang="pt-B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/</m:t>
                            </m:r>
                            <m:r>
                              <a:rPr lang="pt-B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lang="pt-B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3,7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15" name="Retângulo 14"/>
            <xdr:cNvSpPr/>
          </xdr:nvSpPr>
          <xdr:spPr>
            <a:xfrm>
              <a:off x="314325" y="7829550"/>
              <a:ext cx="1952625" cy="610680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4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1/√𝑓=</a:t>
              </a:r>
              <a:r>
                <a:rPr lang="pt-BR" sz="1400" b="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−</a:t>
              </a:r>
              <a:r>
                <a:rPr lang="pt-BR" sz="14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2,0 </a:t>
              </a:r>
              <a:r>
                <a:rPr lang="pt-BR" sz="140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𝑙𝑜𝑔((𝜀</a:t>
              </a:r>
              <a:r>
                <a:rPr lang="pt-BR" sz="1400" b="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/𝐷)/3,7)</a:t>
              </a:r>
              <a:endParaRPr lang="pt-BR" sz="1400"/>
            </a:p>
          </xdr:txBody>
        </xdr:sp>
      </mc:Fallback>
    </mc:AlternateContent>
    <xdr:clientData/>
  </xdr:twoCellAnchor>
  <xdr:twoCellAnchor>
    <xdr:from>
      <xdr:col>1</xdr:col>
      <xdr:colOff>47091</xdr:colOff>
      <xdr:row>17</xdr:row>
      <xdr:rowOff>0</xdr:rowOff>
    </xdr:from>
    <xdr:to>
      <xdr:col>1</xdr:col>
      <xdr:colOff>1153060</xdr:colOff>
      <xdr:row>19</xdr:row>
      <xdr:rowOff>180436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Retângulo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>
            <a:xfrm>
              <a:off x="323316" y="3257550"/>
              <a:ext cx="1105969" cy="561436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t-BR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pt-BR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𝜀</m:t>
                        </m:r>
                      </m:e>
                      <m:sup>
                        <m:r>
                          <a:rPr lang="pt-BR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</m:sup>
                    </m:sSup>
                    <m:r>
                      <a:rPr lang="pt-BR" sz="16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t-BR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t-BR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𝜀</m:t>
                        </m:r>
                        <m:sSup>
                          <m:sSupPr>
                            <m:ctrlPr>
                              <a:rPr lang="pt-BR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pt-BR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𝑢</m:t>
                            </m:r>
                          </m:e>
                          <m:sup>
                            <m:r>
                              <a:rPr lang="pt-BR" sz="16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</m:sup>
                        </m:sSup>
                      </m:num>
                      <m:den>
                        <m:r>
                          <a:rPr lang="pt-BR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𝜈</m:t>
                        </m:r>
                      </m:den>
                    </m:f>
                  </m:oMath>
                </m:oMathPara>
              </a14:m>
              <a:endParaRPr lang="pt-BR" sz="1600"/>
            </a:p>
          </xdr:txBody>
        </xdr:sp>
      </mc:Choice>
      <mc:Fallback xmlns="">
        <xdr:sp macro="" textlink="">
          <xdr:nvSpPr>
            <xdr:cNvPr id="16" name="Retângulo 15"/>
            <xdr:cNvSpPr/>
          </xdr:nvSpPr>
          <xdr:spPr>
            <a:xfrm>
              <a:off x="323316" y="3257550"/>
              <a:ext cx="1105969" cy="561436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6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𝜀^+=</a:t>
              </a:r>
              <a:r>
                <a:rPr lang="pt-BR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pt-BR" sz="16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𝜀</a:t>
              </a:r>
              <a:r>
                <a:rPr lang="pt-BR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𝑢^∗)/</a:t>
              </a:r>
              <a:r>
                <a:rPr lang="pt-BR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𝜈</a:t>
              </a:r>
              <a:endParaRPr lang="pt-BR" sz="1600"/>
            </a:p>
          </xdr:txBody>
        </xdr:sp>
      </mc:Fallback>
    </mc:AlternateContent>
    <xdr:clientData/>
  </xdr:twoCellAnchor>
  <xdr:twoCellAnchor>
    <xdr:from>
      <xdr:col>1</xdr:col>
      <xdr:colOff>38100</xdr:colOff>
      <xdr:row>61</xdr:row>
      <xdr:rowOff>180975</xdr:rowOff>
    </xdr:from>
    <xdr:to>
      <xdr:col>1</xdr:col>
      <xdr:colOff>2638425</xdr:colOff>
      <xdr:row>65</xdr:row>
      <xdr:rowOff>113717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314325" y="11820525"/>
              <a:ext cx="2600325" cy="694742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200" i="1">
                            <a:latin typeface="Cambria Math" panose="02040503050406030204" pitchFamily="18" charset="0"/>
                            <a:cs typeface="Times New Roman" panose="02020603050405020304" pitchFamily="18" charset="0"/>
                          </a:rPr>
                        </m:ctrlPr>
                      </m:fPr>
                      <m:num>
                        <m:r>
                          <a:rPr lang="pt-BR" sz="1200" i="1">
                            <a:latin typeface="Cambria Math" panose="02040503050406030204" pitchFamily="18" charset="0"/>
                            <a:cs typeface="Times New Roman" panose="02020603050405020304" pitchFamily="18" charset="0"/>
                          </a:rPr>
                          <m:t>1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pt-BR" sz="1200" i="1">
                                <a:latin typeface="Cambria Math" panose="02040503050406030204" pitchFamily="18" charset="0"/>
                                <a:cs typeface="Times New Roman" panose="020206030504050203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pt-BR" sz="1200" i="1">
                                <a:latin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𝑓</m:t>
                            </m:r>
                          </m:e>
                        </m:rad>
                      </m:den>
                    </m:f>
                    <m:r>
                      <a:rPr lang="pt-BR" sz="120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=</m:t>
                    </m:r>
                    <m:r>
                      <a:rPr lang="pt-BR" sz="1200" b="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−1,8</m:t>
                    </m:r>
                    <m:r>
                      <a:rPr lang="pt-BR" sz="1200" i="1">
                        <a:latin typeface="Cambria Math" panose="02040503050406030204" pitchFamily="18" charset="0"/>
                        <a:cs typeface="Times New Roman" panose="02020603050405020304" pitchFamily="18" charset="0"/>
                      </a:rPr>
                      <m:t> </m:t>
                    </m:r>
                    <m:r>
                      <a:rPr lang="pt-BR" sz="1200" i="1">
                        <a:latin typeface="Cambria Math" panose="02040503050406030204" pitchFamily="18" charset="0"/>
                        <a:ea typeface="Cambria Math" panose="02040503050406030204" pitchFamily="18" charset="0"/>
                        <a:cs typeface="Times New Roman" panose="02020603050405020304" pitchFamily="18" charset="0"/>
                      </a:rPr>
                      <m:t>𝑙𝑜𝑔</m:t>
                    </m:r>
                    <m:d>
                      <m:dPr>
                        <m:begChr m:val="["/>
                        <m:endChr m:val="]"/>
                        <m:ctrlPr>
                          <a:rPr lang="pt-BR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Times New Roman" panose="020206030504050203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</m:ctrlPr>
                          </m:fPr>
                          <m:num>
                            <m:r>
                              <a:rPr lang="pt-BR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6,9</m:t>
                            </m:r>
                          </m:num>
                          <m:den>
                            <m:r>
                              <a:rPr lang="pt-BR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𝑅𝑒</m:t>
                            </m:r>
                          </m:den>
                        </m:f>
                        <m:r>
                          <a:rPr lang="pt-BR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Times New Roman" panose="020206030504050203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pt-BR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pt-BR" sz="16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pt-BR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pt-BR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𝜀</m:t>
                                    </m:r>
                                    <m:r>
                                      <a:rPr lang="pt-BR" sz="1600" b="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/</m:t>
                                    </m:r>
                                    <m:r>
                                      <a:rPr lang="pt-BR" sz="1600" b="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lang="pt-BR" sz="1600" b="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3,7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pt-BR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Times New Roman" panose="02020603050405020304" pitchFamily="18" charset="0"/>
                              </a:rPr>
                              <m:t>1,11</m:t>
                            </m:r>
                          </m:sup>
                        </m:sSup>
                      </m:e>
                    </m:d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17" name="Retângulo 16"/>
            <xdr:cNvSpPr/>
          </xdr:nvSpPr>
          <xdr:spPr>
            <a:xfrm>
              <a:off x="314325" y="11820525"/>
              <a:ext cx="2600325" cy="694742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BR" sz="12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1/√𝑓=</a:t>
              </a:r>
              <a:r>
                <a:rPr lang="pt-BR" sz="1200" b="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−1,8</a:t>
              </a:r>
              <a:r>
                <a:rPr lang="pt-BR" sz="12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 </a:t>
              </a:r>
              <a:r>
                <a:rPr lang="pt-BR" sz="120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𝑙𝑜𝑔[</a:t>
              </a:r>
              <a:r>
                <a:rPr lang="pt-BR" sz="1200" b="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6,9/𝑅𝑒+</a:t>
              </a:r>
              <a:r>
                <a:rPr lang="pt-BR" sz="16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((</a:t>
              </a:r>
              <a:r>
                <a:rPr lang="pt-BR" sz="16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𝜀</a:t>
              </a:r>
              <a:r>
                <a:rPr lang="pt-BR" sz="16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/𝐷)/3,7)</a:t>
              </a:r>
              <a:r>
                <a:rPr lang="pt-B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</a:t>
              </a:r>
              <a:r>
                <a:rPr lang="pt-BR" sz="1200" b="0" i="0"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1,11 ]</a:t>
              </a:r>
              <a:endParaRPr lang="pt-BR" sz="1400"/>
            </a:p>
          </xdr:txBody>
        </xdr:sp>
      </mc:Fallback>
    </mc:AlternateContent>
    <xdr:clientData/>
  </xdr:twoCellAnchor>
  <xdr:oneCellAnchor>
    <xdr:from>
      <xdr:col>1</xdr:col>
      <xdr:colOff>93345</xdr:colOff>
      <xdr:row>82</xdr:row>
      <xdr:rowOff>2857</xdr:rowOff>
    </xdr:from>
    <xdr:ext cx="805285" cy="470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379095" y="14861857"/>
              <a:ext cx="805285" cy="47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𝑙</m:t>
                        </m:r>
                      </m:sub>
                    </m:sSub>
                    <m:r>
                      <a:rPr lang="pt-BR" sz="14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400" b="0" i="1">
                        <a:latin typeface="Cambria Math" panose="02040503050406030204" pitchFamily="18" charset="0"/>
                      </a:rPr>
                      <m:t>𝐾</m:t>
                    </m:r>
                    <m:f>
                      <m:f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BR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p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𝑔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0ACBC481-7BF1-4B9D-8BAB-C167F775C8D6}"/>
                </a:ext>
              </a:extLst>
            </xdr:cNvPr>
            <xdr:cNvSpPr txBox="1"/>
          </xdr:nvSpPr>
          <xdr:spPr>
            <a:xfrm>
              <a:off x="379095" y="14861857"/>
              <a:ext cx="805285" cy="47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400" b="0" i="0">
                  <a:latin typeface="Cambria Math" panose="02040503050406030204" pitchFamily="18" charset="0"/>
                </a:rPr>
                <a:t>ℎ_𝑙=𝐾 𝑉^2/2𝑔</a:t>
              </a:r>
              <a:endParaRPr lang="pt-B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2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O61"/>
  <sheetViews>
    <sheetView showGridLines="0" tabSelected="1" zoomScaleNormal="100" workbookViewId="0"/>
  </sheetViews>
  <sheetFormatPr defaultColWidth="9.109375" defaultRowHeight="14.4"/>
  <cols>
    <col min="1" max="1" width="3.6640625" style="53" customWidth="1"/>
    <col min="2" max="2" width="32.33203125" style="53" customWidth="1"/>
    <col min="3" max="3" width="6.44140625" style="53" customWidth="1"/>
    <col min="4" max="4" width="12" style="53" bestFit="1" customWidth="1"/>
    <col min="5" max="6" width="9.5546875" style="53" hidden="1" customWidth="1"/>
    <col min="7" max="7" width="6.33203125" style="53" customWidth="1"/>
    <col min="8" max="8" width="7.33203125" style="53" customWidth="1"/>
    <col min="9" max="9" width="6.44140625" style="53" customWidth="1"/>
    <col min="10" max="10" width="53.21875" style="53" customWidth="1"/>
    <col min="11" max="12" width="14.88671875" style="64" customWidth="1"/>
    <col min="13" max="13" width="12" style="53" bestFit="1" customWidth="1"/>
    <col min="14" max="14" width="6.33203125" style="53" bestFit="1" customWidth="1"/>
    <col min="15" max="15" width="6.44140625" style="53" customWidth="1"/>
    <col min="16" max="16384" width="9.109375" style="53"/>
  </cols>
  <sheetData>
    <row r="1" spans="2:15" ht="15" thickBot="1"/>
    <row r="2" spans="2:15" ht="21">
      <c r="B2" s="125" t="s">
        <v>42</v>
      </c>
      <c r="C2" s="126"/>
      <c r="D2" s="126"/>
      <c r="E2" s="126"/>
      <c r="F2" s="126"/>
      <c r="G2" s="126"/>
      <c r="H2" s="126"/>
      <c r="I2" s="126"/>
      <c r="J2" s="126"/>
      <c r="K2" s="126"/>
      <c r="L2" s="127"/>
      <c r="M2" s="61"/>
      <c r="N2" s="61"/>
    </row>
    <row r="3" spans="2:15" ht="18">
      <c r="B3" s="128" t="s">
        <v>43</v>
      </c>
      <c r="C3" s="129"/>
      <c r="D3" s="129"/>
      <c r="E3" s="129"/>
      <c r="F3" s="129"/>
      <c r="G3" s="129"/>
      <c r="H3" s="129"/>
      <c r="I3" s="129"/>
      <c r="J3" s="129"/>
      <c r="K3" s="129"/>
      <c r="L3" s="130"/>
      <c r="M3" s="60"/>
      <c r="N3" s="60"/>
    </row>
    <row r="4" spans="2:15" ht="18">
      <c r="B4" s="128" t="s">
        <v>41</v>
      </c>
      <c r="C4" s="129"/>
      <c r="D4" s="129"/>
      <c r="E4" s="129"/>
      <c r="F4" s="129"/>
      <c r="G4" s="129"/>
      <c r="H4" s="129"/>
      <c r="I4" s="129"/>
      <c r="J4" s="129"/>
      <c r="K4" s="129"/>
      <c r="L4" s="130"/>
      <c r="M4" s="60"/>
      <c r="N4" s="60"/>
    </row>
    <row r="5" spans="2:15" ht="15" thickBot="1">
      <c r="B5" s="131" t="s">
        <v>47</v>
      </c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62"/>
      <c r="N5" s="62"/>
    </row>
    <row r="6" spans="2:15" ht="15" thickBot="1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5" ht="15" thickBot="1">
      <c r="B7" s="134" t="s">
        <v>218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59"/>
      <c r="N7" s="59"/>
    </row>
    <row r="8" spans="2:1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2:15">
      <c r="B9" s="12" t="s">
        <v>163</v>
      </c>
      <c r="C9" s="18"/>
      <c r="D9" s="24"/>
      <c r="E9" s="24"/>
      <c r="F9" s="24"/>
      <c r="G9" s="24"/>
      <c r="H9" s="24"/>
      <c r="I9" s="24"/>
      <c r="J9" s="65"/>
      <c r="K9" s="66"/>
      <c r="L9" s="24"/>
      <c r="M9" s="24"/>
      <c r="N9" s="24"/>
    </row>
    <row r="10" spans="2:15">
      <c r="B10" s="12" t="s">
        <v>162</v>
      </c>
      <c r="C10" s="19"/>
      <c r="D10" s="24"/>
      <c r="E10" s="24"/>
      <c r="F10" s="24"/>
      <c r="G10" s="24"/>
      <c r="H10" s="24"/>
      <c r="I10" s="24"/>
      <c r="J10" s="65"/>
      <c r="K10" s="66"/>
      <c r="L10" s="24"/>
      <c r="M10" s="24"/>
      <c r="N10" s="24"/>
    </row>
    <row r="11" spans="2:15" ht="15" thickBot="1"/>
    <row r="12" spans="2:15" ht="15" thickBot="1">
      <c r="B12" s="120" t="s">
        <v>51</v>
      </c>
      <c r="C12" s="121"/>
      <c r="D12" s="121"/>
      <c r="E12" s="121"/>
      <c r="F12" s="121"/>
      <c r="G12" s="121"/>
      <c r="H12" s="122"/>
      <c r="J12" s="63" t="s">
        <v>98</v>
      </c>
      <c r="K12" s="110" t="s">
        <v>217</v>
      </c>
      <c r="L12" s="63" t="s">
        <v>99</v>
      </c>
      <c r="O12" s="64"/>
    </row>
    <row r="13" spans="2:15">
      <c r="B13" s="33" t="s">
        <v>203</v>
      </c>
      <c r="C13" s="117" t="str">
        <f>IF(B13="Velocidade média","V =","Q =")</f>
        <v>Q =</v>
      </c>
      <c r="D13" s="29">
        <v>10</v>
      </c>
      <c r="E13" s="111">
        <f>IF(C13="V =",D13*VLOOKUP($H13,Unidades!H:I,2,FALSE),D13/A*VLOOKUP($G13,Unidades!J:K,2,FALSE))</f>
        <v>5.0929581789406502</v>
      </c>
      <c r="F13" s="111">
        <f>IF(C13="V =",D13*A*VLOOKUP($H13,Unidades!H:I,2,FALSE),D13*VLOOKUP($G13,Unidades!J:K,2,FALSE))</f>
        <v>0.01</v>
      </c>
      <c r="G13" s="112" t="s">
        <v>52</v>
      </c>
      <c r="H13" s="113" t="s">
        <v>0</v>
      </c>
      <c r="J13" s="53" t="s">
        <v>100</v>
      </c>
      <c r="K13" s="64" t="s">
        <v>101</v>
      </c>
    </row>
    <row r="14" spans="2:15">
      <c r="B14" s="11" t="s">
        <v>25</v>
      </c>
      <c r="C14" s="12" t="s">
        <v>26</v>
      </c>
      <c r="D14" s="10">
        <v>100</v>
      </c>
      <c r="E14" s="114">
        <f>D14*VLOOKUP(G14,Unidades!$B:$C,2,FALSE)</f>
        <v>100</v>
      </c>
      <c r="F14" s="90"/>
      <c r="G14" s="123" t="s">
        <v>1</v>
      </c>
      <c r="H14" s="124"/>
      <c r="J14" s="53" t="s">
        <v>102</v>
      </c>
      <c r="K14" s="64" t="s">
        <v>103</v>
      </c>
    </row>
    <row r="15" spans="2:15" ht="15.6">
      <c r="B15" s="27" t="s">
        <v>67</v>
      </c>
      <c r="C15" s="12" t="s">
        <v>212</v>
      </c>
      <c r="D15" s="10">
        <v>50</v>
      </c>
      <c r="E15" s="114">
        <f>D15*VLOOKUP(G15,Unidades!$D:$E,2,FALSE)</f>
        <v>0.05</v>
      </c>
      <c r="F15" s="90"/>
      <c r="G15" s="123" t="s">
        <v>9</v>
      </c>
      <c r="H15" s="124"/>
      <c r="J15" s="53" t="s">
        <v>104</v>
      </c>
      <c r="K15" s="64" t="s">
        <v>105</v>
      </c>
    </row>
    <row r="16" spans="2:15" ht="15.6">
      <c r="B16" s="27" t="s">
        <v>213</v>
      </c>
      <c r="C16" s="12" t="s">
        <v>216</v>
      </c>
      <c r="D16" s="108">
        <v>0</v>
      </c>
      <c r="E16" s="114">
        <f>D16*VLOOKUP(G16,Unidades!$D:$E,2,FALSE)</f>
        <v>0</v>
      </c>
      <c r="F16" s="115"/>
      <c r="G16" s="123" t="s">
        <v>1</v>
      </c>
      <c r="H16" s="124"/>
      <c r="J16" s="53" t="s">
        <v>106</v>
      </c>
      <c r="K16" s="64" t="s">
        <v>107</v>
      </c>
    </row>
    <row r="17" spans="2:11" ht="15.6">
      <c r="B17" s="27" t="s">
        <v>214</v>
      </c>
      <c r="C17" s="12" t="s">
        <v>215</v>
      </c>
      <c r="D17" s="108">
        <v>0</v>
      </c>
      <c r="E17" s="114">
        <f>D17*VLOOKUP(G17,Unidades!$D:$E,2,FALSE)</f>
        <v>0</v>
      </c>
      <c r="F17" s="115"/>
      <c r="G17" s="123" t="s">
        <v>1</v>
      </c>
      <c r="H17" s="124"/>
      <c r="J17" s="53" t="s">
        <v>108</v>
      </c>
      <c r="K17" s="64" t="s">
        <v>109</v>
      </c>
    </row>
    <row r="18" spans="2:11">
      <c r="B18" s="11" t="s">
        <v>27</v>
      </c>
      <c r="C18" s="12" t="s">
        <v>17</v>
      </c>
      <c r="D18" s="10">
        <v>0.1</v>
      </c>
      <c r="E18" s="114">
        <f>D18*VLOOKUP(G18,Unidades!$D:$E,2,FALSE)</f>
        <v>1E-4</v>
      </c>
      <c r="F18" s="90"/>
      <c r="G18" s="123" t="s">
        <v>9</v>
      </c>
      <c r="H18" s="124"/>
      <c r="J18" s="53" t="s">
        <v>110</v>
      </c>
      <c r="K18" s="64" t="s">
        <v>111</v>
      </c>
    </row>
    <row r="19" spans="2:11">
      <c r="B19" s="11" t="s">
        <v>28</v>
      </c>
      <c r="C19" s="12" t="s">
        <v>21</v>
      </c>
      <c r="D19" s="90">
        <v>120</v>
      </c>
      <c r="E19" s="47"/>
      <c r="F19" s="47"/>
      <c r="G19" s="147"/>
      <c r="H19" s="148"/>
      <c r="J19" s="53" t="s">
        <v>112</v>
      </c>
      <c r="K19" s="64" t="s">
        <v>113</v>
      </c>
    </row>
    <row r="20" spans="2:11">
      <c r="B20" s="97" t="s">
        <v>206</v>
      </c>
      <c r="C20" s="95" t="s">
        <v>207</v>
      </c>
      <c r="D20" s="101">
        <v>0</v>
      </c>
      <c r="E20" s="46"/>
      <c r="F20" s="47"/>
      <c r="G20" s="92"/>
      <c r="H20" s="93"/>
      <c r="J20" s="53" t="s">
        <v>114</v>
      </c>
      <c r="K20" s="64" t="s">
        <v>115</v>
      </c>
    </row>
    <row r="21" spans="2:11">
      <c r="B21" s="11" t="s">
        <v>29</v>
      </c>
      <c r="C21" s="12" t="s">
        <v>44</v>
      </c>
      <c r="D21" s="10">
        <v>1</v>
      </c>
      <c r="E21" s="46">
        <f>D21*VLOOKUP(G21,Unidades!$L:$M,2,FALSE)</f>
        <v>1E-3</v>
      </c>
      <c r="F21" s="47"/>
      <c r="G21" s="123" t="s">
        <v>71</v>
      </c>
      <c r="H21" s="124"/>
      <c r="J21" s="53" t="s">
        <v>116</v>
      </c>
      <c r="K21" s="64">
        <v>6</v>
      </c>
    </row>
    <row r="22" spans="2:11" ht="15" thickBot="1">
      <c r="B22" s="16" t="s">
        <v>30</v>
      </c>
      <c r="C22" s="17" t="s">
        <v>45</v>
      </c>
      <c r="D22" s="40">
        <v>998</v>
      </c>
      <c r="E22" s="107">
        <f>D22*VLOOKUP(G22,Unidades!$N:$O,2,FALSE)</f>
        <v>998</v>
      </c>
      <c r="F22" s="87"/>
      <c r="G22" s="139" t="s">
        <v>2</v>
      </c>
      <c r="H22" s="140"/>
      <c r="J22" s="53" t="s">
        <v>117</v>
      </c>
      <c r="K22" s="64" t="s">
        <v>107</v>
      </c>
    </row>
    <row r="23" spans="2:11" ht="15" thickBot="1">
      <c r="J23" s="53" t="s">
        <v>118</v>
      </c>
      <c r="K23" s="64" t="s">
        <v>119</v>
      </c>
    </row>
    <row r="24" spans="2:11" ht="15" thickBot="1">
      <c r="B24" s="120" t="s">
        <v>90</v>
      </c>
      <c r="C24" s="121"/>
      <c r="D24" s="121"/>
      <c r="E24" s="121"/>
      <c r="F24" s="121"/>
      <c r="G24" s="121"/>
      <c r="H24" s="122"/>
      <c r="J24" s="53" t="s">
        <v>120</v>
      </c>
      <c r="K24" s="64" t="s">
        <v>113</v>
      </c>
    </row>
    <row r="25" spans="2:11">
      <c r="B25" s="44" t="s">
        <v>95</v>
      </c>
      <c r="C25" s="137" t="s">
        <v>93</v>
      </c>
      <c r="D25" s="137"/>
      <c r="E25" s="137"/>
      <c r="F25" s="137"/>
      <c r="G25" s="137"/>
      <c r="H25" s="138"/>
      <c r="J25" s="53" t="s">
        <v>121</v>
      </c>
      <c r="K25" s="64" t="s">
        <v>122</v>
      </c>
    </row>
    <row r="26" spans="2:11">
      <c r="B26" s="11" t="s">
        <v>204</v>
      </c>
      <c r="C26" s="12" t="s">
        <v>20</v>
      </c>
      <c r="D26" s="46">
        <f ca="1">E26/VLOOKUP(G26,Unidades!$P:$Q,2,FALSE)</f>
        <v>0.63756450873773518</v>
      </c>
      <c r="E26" s="46">
        <f ca="1">OFFSET(Calculo!$L$1,VLOOKUP($C$25,'Opcoes_perda-de-carga'!$B:$C,2,FALSE)-2,0)</f>
        <v>0.63756450873773518</v>
      </c>
      <c r="F26" s="47"/>
      <c r="G26" s="118" t="s">
        <v>7</v>
      </c>
      <c r="H26" s="94"/>
      <c r="J26" s="53" t="s">
        <v>123</v>
      </c>
      <c r="K26" s="64" t="s">
        <v>124</v>
      </c>
    </row>
    <row r="27" spans="2:11" ht="15.6">
      <c r="B27" s="106" t="s">
        <v>205</v>
      </c>
      <c r="C27" s="103" t="s">
        <v>210</v>
      </c>
      <c r="D27" s="104">
        <f ca="1">OFFSET(Calculo!$K$1,VLOOKUP($C$25,'Opcoes_perda-de-carga'!$B:$C,2,FALSE)-1,0)</f>
        <v>63.756450873773517</v>
      </c>
      <c r="E27" s="104">
        <f ca="1">D27</f>
        <v>63.756450873773517</v>
      </c>
      <c r="F27" s="80"/>
      <c r="G27" s="109" t="s">
        <v>1</v>
      </c>
      <c r="H27" s="91"/>
      <c r="J27" s="53" t="s">
        <v>125</v>
      </c>
      <c r="K27" s="64" t="s">
        <v>126</v>
      </c>
    </row>
    <row r="28" spans="2:11" ht="15.6">
      <c r="B28" s="106" t="s">
        <v>208</v>
      </c>
      <c r="C28" s="103" t="s">
        <v>211</v>
      </c>
      <c r="D28" s="105">
        <f>D20*V^2/(2*9.81)</f>
        <v>0</v>
      </c>
      <c r="E28" s="105">
        <f>D28</f>
        <v>0</v>
      </c>
      <c r="F28" s="96"/>
      <c r="G28" s="99" t="s">
        <v>1</v>
      </c>
      <c r="H28" s="91"/>
      <c r="J28" s="53" t="s">
        <v>127</v>
      </c>
      <c r="K28" s="64" t="s">
        <v>113</v>
      </c>
    </row>
    <row r="29" spans="2:11">
      <c r="B29" s="79" t="s">
        <v>209</v>
      </c>
      <c r="C29" s="98" t="s">
        <v>88</v>
      </c>
      <c r="D29" s="102">
        <f ca="1">D27+D28</f>
        <v>63.756450873773517</v>
      </c>
      <c r="E29" s="105">
        <f ca="1">E27+E28</f>
        <v>63.756450873773517</v>
      </c>
      <c r="F29" s="96"/>
      <c r="G29" s="99" t="s">
        <v>1</v>
      </c>
      <c r="H29" s="91"/>
      <c r="J29" s="53" t="s">
        <v>128</v>
      </c>
      <c r="K29" s="64" t="s">
        <v>111</v>
      </c>
    </row>
    <row r="30" spans="2:11" ht="15" thickBot="1">
      <c r="B30" s="45" t="s">
        <v>270</v>
      </c>
      <c r="C30" s="35" t="s">
        <v>191</v>
      </c>
      <c r="D30" s="32">
        <f ca="1">E30/VLOOKUP(G30,Unidades!$R:$S,2,FALSE)</f>
        <v>-63.756450873773517</v>
      </c>
      <c r="E30" s="100">
        <f ca="1">Massa_Especifica*9.81*(-E29+(E16-E17))</f>
        <v>-624199.8815055748</v>
      </c>
      <c r="F30" s="87"/>
      <c r="G30" s="119" t="s">
        <v>81</v>
      </c>
      <c r="H30" s="116"/>
      <c r="J30" s="53" t="s">
        <v>129</v>
      </c>
      <c r="K30" s="64" t="s">
        <v>130</v>
      </c>
    </row>
    <row r="31" spans="2:11">
      <c r="J31" s="53" t="s">
        <v>131</v>
      </c>
      <c r="K31" s="64" t="s">
        <v>132</v>
      </c>
    </row>
    <row r="32" spans="2:11">
      <c r="B32" s="168" t="s">
        <v>220</v>
      </c>
      <c r="C32" s="169"/>
      <c r="D32" s="170"/>
      <c r="J32" s="53" t="s">
        <v>133</v>
      </c>
      <c r="K32" s="64" t="s">
        <v>134</v>
      </c>
    </row>
    <row r="33" spans="2:14">
      <c r="B33" s="166" t="s">
        <v>221</v>
      </c>
      <c r="C33" s="167" t="s">
        <v>222</v>
      </c>
      <c r="D33" s="167"/>
      <c r="J33" s="53" t="s">
        <v>135</v>
      </c>
      <c r="K33" s="64" t="s">
        <v>136</v>
      </c>
    </row>
    <row r="34" spans="2:14">
      <c r="B34" s="162" t="s">
        <v>223</v>
      </c>
      <c r="C34" s="163" t="s">
        <v>224</v>
      </c>
      <c r="D34" s="163"/>
      <c r="J34" s="53" t="s">
        <v>137</v>
      </c>
      <c r="K34" s="64" t="s">
        <v>138</v>
      </c>
    </row>
    <row r="35" spans="2:14">
      <c r="B35" s="162" t="s">
        <v>225</v>
      </c>
      <c r="C35" s="163" t="s">
        <v>226</v>
      </c>
      <c r="D35" s="163"/>
      <c r="J35" s="53" t="s">
        <v>139</v>
      </c>
      <c r="K35" s="64" t="s">
        <v>115</v>
      </c>
    </row>
    <row r="36" spans="2:14">
      <c r="B36" s="162" t="s">
        <v>227</v>
      </c>
      <c r="C36" s="163" t="s">
        <v>228</v>
      </c>
      <c r="D36" s="163"/>
      <c r="J36" s="53" t="s">
        <v>140</v>
      </c>
      <c r="K36" s="64" t="s">
        <v>141</v>
      </c>
    </row>
    <row r="37" spans="2:14">
      <c r="B37" s="162" t="s">
        <v>229</v>
      </c>
      <c r="C37" s="163" t="s">
        <v>228</v>
      </c>
      <c r="D37" s="163"/>
      <c r="J37" s="141" t="s">
        <v>142</v>
      </c>
      <c r="K37" s="143" t="s">
        <v>143</v>
      </c>
      <c r="L37" s="145"/>
    </row>
    <row r="38" spans="2:14">
      <c r="B38" s="162" t="s">
        <v>230</v>
      </c>
      <c r="C38" s="163" t="s">
        <v>231</v>
      </c>
      <c r="D38" s="163"/>
      <c r="J38" s="142"/>
      <c r="K38" s="144"/>
      <c r="L38" s="146"/>
    </row>
    <row r="39" spans="2:14">
      <c r="B39" s="162" t="s">
        <v>232</v>
      </c>
      <c r="C39" s="163" t="s">
        <v>233</v>
      </c>
      <c r="D39" s="163"/>
      <c r="J39" s="55" t="s">
        <v>144</v>
      </c>
      <c r="K39" s="78"/>
      <c r="L39" s="78">
        <v>60</v>
      </c>
      <c r="M39" s="55"/>
      <c r="N39" s="55"/>
    </row>
    <row r="40" spans="2:14">
      <c r="B40" s="162" t="s">
        <v>234</v>
      </c>
      <c r="C40" s="163" t="s">
        <v>235</v>
      </c>
      <c r="D40" s="163"/>
      <c r="J40" s="53" t="s">
        <v>145</v>
      </c>
      <c r="L40" s="64">
        <v>90</v>
      </c>
    </row>
    <row r="41" spans="2:14">
      <c r="B41" s="162" t="s">
        <v>236</v>
      </c>
      <c r="C41" s="163" t="s">
        <v>237</v>
      </c>
      <c r="D41" s="163"/>
      <c r="J41" s="53" t="s">
        <v>146</v>
      </c>
      <c r="L41" s="64">
        <v>110</v>
      </c>
    </row>
    <row r="42" spans="2:14">
      <c r="B42" s="162" t="s">
        <v>238</v>
      </c>
      <c r="C42" s="163" t="s">
        <v>239</v>
      </c>
      <c r="D42" s="163"/>
      <c r="J42" s="53" t="s">
        <v>147</v>
      </c>
      <c r="L42" s="64">
        <v>130</v>
      </c>
    </row>
    <row r="43" spans="2:14">
      <c r="B43" s="162" t="s">
        <v>240</v>
      </c>
      <c r="C43" s="163" t="s">
        <v>241</v>
      </c>
      <c r="D43" s="163"/>
      <c r="J43" s="53" t="s">
        <v>148</v>
      </c>
      <c r="L43" s="64">
        <v>130</v>
      </c>
    </row>
    <row r="44" spans="2:14">
      <c r="B44" s="162" t="s">
        <v>242</v>
      </c>
      <c r="C44" s="163" t="s">
        <v>243</v>
      </c>
      <c r="D44" s="163"/>
      <c r="J44" s="53" t="s">
        <v>149</v>
      </c>
      <c r="L44" s="64">
        <v>130</v>
      </c>
    </row>
    <row r="45" spans="2:14">
      <c r="B45" s="162" t="s">
        <v>244</v>
      </c>
      <c r="C45" s="163" t="s">
        <v>245</v>
      </c>
      <c r="D45" s="163"/>
      <c r="J45" s="53" t="s">
        <v>150</v>
      </c>
      <c r="L45" s="64">
        <v>130</v>
      </c>
    </row>
    <row r="46" spans="2:14">
      <c r="B46" s="162" t="s">
        <v>246</v>
      </c>
      <c r="C46" s="163" t="s">
        <v>231</v>
      </c>
      <c r="D46" s="163"/>
      <c r="J46" s="53" t="s">
        <v>151</v>
      </c>
      <c r="L46" s="64">
        <v>90</v>
      </c>
    </row>
    <row r="47" spans="2:14">
      <c r="B47" s="162" t="s">
        <v>247</v>
      </c>
      <c r="C47" s="163" t="s">
        <v>248</v>
      </c>
      <c r="D47" s="163"/>
      <c r="J47" s="53" t="s">
        <v>152</v>
      </c>
      <c r="L47" s="64">
        <v>120</v>
      </c>
    </row>
    <row r="48" spans="2:14">
      <c r="B48" s="162" t="s">
        <v>249</v>
      </c>
      <c r="C48" s="163">
        <v>10</v>
      </c>
      <c r="D48" s="163"/>
      <c r="J48" s="53" t="s">
        <v>153</v>
      </c>
      <c r="L48" s="64">
        <v>130</v>
      </c>
    </row>
    <row r="49" spans="2:12">
      <c r="B49" s="162" t="s">
        <v>250</v>
      </c>
      <c r="C49" s="163" t="s">
        <v>251</v>
      </c>
      <c r="D49" s="163"/>
      <c r="J49" s="53" t="s">
        <v>154</v>
      </c>
      <c r="L49" s="64">
        <v>125</v>
      </c>
    </row>
    <row r="50" spans="2:12">
      <c r="B50" s="162" t="s">
        <v>252</v>
      </c>
      <c r="C50" s="163" t="s">
        <v>253</v>
      </c>
      <c r="D50" s="163"/>
      <c r="J50" s="53" t="s">
        <v>155</v>
      </c>
      <c r="L50" s="64">
        <v>85</v>
      </c>
    </row>
    <row r="51" spans="2:12">
      <c r="B51" s="162" t="s">
        <v>254</v>
      </c>
      <c r="C51" s="163" t="s">
        <v>255</v>
      </c>
      <c r="D51" s="163"/>
      <c r="J51" s="53" t="s">
        <v>156</v>
      </c>
      <c r="L51" s="64">
        <v>90</v>
      </c>
    </row>
    <row r="52" spans="2:12">
      <c r="B52" s="162" t="s">
        <v>256</v>
      </c>
      <c r="C52" s="163">
        <v>10</v>
      </c>
      <c r="D52" s="163"/>
      <c r="J52" s="53" t="s">
        <v>157</v>
      </c>
      <c r="L52" s="64">
        <v>130</v>
      </c>
    </row>
    <row r="53" spans="2:12">
      <c r="B53" s="162" t="s">
        <v>257</v>
      </c>
      <c r="C53" s="163" t="s">
        <v>258</v>
      </c>
      <c r="D53" s="163"/>
      <c r="J53" s="53" t="s">
        <v>158</v>
      </c>
      <c r="L53" s="64">
        <v>120</v>
      </c>
    </row>
    <row r="54" spans="2:12">
      <c r="B54" s="162" t="s">
        <v>259</v>
      </c>
      <c r="C54" s="163">
        <v>6</v>
      </c>
      <c r="D54" s="163"/>
      <c r="J54" s="53" t="s">
        <v>159</v>
      </c>
      <c r="L54" s="64">
        <v>100</v>
      </c>
    </row>
    <row r="55" spans="2:12">
      <c r="B55" s="162" t="s">
        <v>260</v>
      </c>
      <c r="C55" s="163" t="s">
        <v>261</v>
      </c>
      <c r="D55" s="163"/>
      <c r="J55" s="53" t="s">
        <v>160</v>
      </c>
      <c r="L55" s="64">
        <v>130</v>
      </c>
    </row>
    <row r="56" spans="2:12">
      <c r="B56" s="162" t="s">
        <v>262</v>
      </c>
      <c r="C56" s="163" t="s">
        <v>263</v>
      </c>
      <c r="D56" s="163"/>
      <c r="J56" s="53" t="s">
        <v>161</v>
      </c>
      <c r="L56" s="64">
        <v>150</v>
      </c>
    </row>
    <row r="57" spans="2:12">
      <c r="B57" s="162" t="s">
        <v>264</v>
      </c>
      <c r="C57" s="163" t="s">
        <v>265</v>
      </c>
      <c r="D57" s="163"/>
    </row>
    <row r="58" spans="2:12">
      <c r="B58" s="171" t="s">
        <v>268</v>
      </c>
      <c r="C58" s="171"/>
      <c r="D58" s="171"/>
    </row>
    <row r="59" spans="2:12">
      <c r="B59" s="165" t="s">
        <v>266</v>
      </c>
      <c r="C59" s="165"/>
      <c r="D59" s="165"/>
    </row>
    <row r="60" spans="2:12">
      <c r="B60" s="165" t="s">
        <v>267</v>
      </c>
      <c r="C60" s="165"/>
      <c r="D60" s="165"/>
    </row>
    <row r="61" spans="2:12">
      <c r="B61" s="164" t="s">
        <v>269</v>
      </c>
      <c r="C61" s="164"/>
      <c r="D61" s="164"/>
    </row>
  </sheetData>
  <sheetProtection algorithmName="SHA-512" hashValue="1L5eX/b8AeTzTFuRwuT08JgK0XZKRcUd1JgdoRYbi2rhZ6ocbAftli+tmpP0A79K4nIMi5t2oI98j0BJr1QgSg==" saltValue="xY+RmBevnokE81KkQwIAHw==" spinCount="100000" sheet="1" objects="1" scenarios="1"/>
  <mergeCells count="49">
    <mergeCell ref="B59:D59"/>
    <mergeCell ref="B60:D60"/>
    <mergeCell ref="B61:D61"/>
    <mergeCell ref="B32:D32"/>
    <mergeCell ref="C54:D54"/>
    <mergeCell ref="C55:D55"/>
    <mergeCell ref="C56:D56"/>
    <mergeCell ref="C57:D57"/>
    <mergeCell ref="B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J37:J38"/>
    <mergeCell ref="K37:K38"/>
    <mergeCell ref="L37:L38"/>
    <mergeCell ref="G19:H19"/>
    <mergeCell ref="C33:D33"/>
    <mergeCell ref="C34:D34"/>
    <mergeCell ref="C35:D35"/>
    <mergeCell ref="C36:D36"/>
    <mergeCell ref="C37:D37"/>
    <mergeCell ref="C38:D38"/>
    <mergeCell ref="G17:H17"/>
    <mergeCell ref="C25:H25"/>
    <mergeCell ref="B24:H24"/>
    <mergeCell ref="G21:H21"/>
    <mergeCell ref="G14:H14"/>
    <mergeCell ref="G15:H15"/>
    <mergeCell ref="G18:H18"/>
    <mergeCell ref="G22:H22"/>
    <mergeCell ref="B12:H12"/>
    <mergeCell ref="G16:H16"/>
    <mergeCell ref="B2:L2"/>
    <mergeCell ref="B3:L3"/>
    <mergeCell ref="B4:L4"/>
    <mergeCell ref="B5:L5"/>
    <mergeCell ref="B7:L7"/>
  </mergeCells>
  <conditionalFormatting sqref="G13">
    <cfRule type="expression" dxfId="10" priority="9">
      <formula>($C$13="V =")</formula>
    </cfRule>
  </conditionalFormatting>
  <conditionalFormatting sqref="H13">
    <cfRule type="expression" dxfId="9" priority="8">
      <formula>($C$13="Q =")</formula>
    </cfRule>
  </conditionalFormatting>
  <conditionalFormatting sqref="J1:L1 J6:L6 J8:L37 J39:L1048576">
    <cfRule type="expression" dxfId="8" priority="3">
      <formula>($J1&lt;&gt;"")*(ROW()&gt;=11)</formula>
    </cfRule>
  </conditionalFormatting>
  <conditionalFormatting sqref="B18:H18 B21:H22">
    <cfRule type="expression" dxfId="7" priority="10">
      <formula>(MID($C$25,1,5)&lt;&gt;"Darcy")</formula>
    </cfRule>
  </conditionalFormatting>
  <conditionalFormatting sqref="B19:H19">
    <cfRule type="expression" dxfId="6" priority="12">
      <formula>(LEFT($C$25,14)&lt;&gt;"Hazen-Williams")</formula>
    </cfRule>
  </conditionalFormatting>
  <dataValidations disablePrompts="1" count="1">
    <dataValidation type="list" allowBlank="1" showInputMessage="1" showErrorMessage="1" sqref="B13" xr:uid="{00000000-0002-0000-0000-000000000000}">
      <formula1>"Velocidade média, Vazão"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 xr:uid="{00000000-0002-0000-0000-000001000000}">
          <x14:formula1>
            <xm:f>OFFSET(Unidades!$H$4,0,0,COUNTA(Unidades!$H$4:$H$100))</xm:f>
          </x14:formula1>
          <xm:sqref>H13</xm:sqref>
        </x14:dataValidation>
        <x14:dataValidation type="list" allowBlank="1" showInputMessage="1" showErrorMessage="1" xr:uid="{00000000-0002-0000-0000-000002000000}">
          <x14:formula1>
            <xm:f>OFFSET(Unidades!$J$4,0,0,COUNTA(Unidades!$J$4:$J$100))</xm:f>
          </x14:formula1>
          <xm:sqref>G13</xm:sqref>
        </x14:dataValidation>
        <x14:dataValidation type="list" allowBlank="1" showInputMessage="1" showErrorMessage="1" error="Unidade de diâmetro inválida." xr:uid="{00000000-0002-0000-0000-000004000000}">
          <x14:formula1>
            <xm:f>OFFSET(Unidades!$B$4,0,0,COUNTA(Unidades!$B$4:$B$100))</xm:f>
          </x14:formula1>
          <xm:sqref>G14:H14</xm:sqref>
        </x14:dataValidation>
        <x14:dataValidation type="list" allowBlank="1" showInputMessage="1" showErrorMessage="1" error="Unidade de diâmetro inválida." xr:uid="{00000000-0002-0000-0000-000005000000}">
          <x14:formula1>
            <xm:f>OFFSET(Unidades!$L$4,0,0,COUNTA(Unidades!$L$4:$L$100))</xm:f>
          </x14:formula1>
          <xm:sqref>G21</xm:sqref>
        </x14:dataValidation>
        <x14:dataValidation type="list" allowBlank="1" showInputMessage="1" showErrorMessage="1" error="Unidade de diâmetro inválida." xr:uid="{00000000-0002-0000-0000-000006000000}">
          <x14:formula1>
            <xm:f>OFFSET(Unidades!$N$4,0,0,COUNTA(Unidades!$N$4:$N$100))</xm:f>
          </x14:formula1>
          <xm:sqref>G22</xm:sqref>
        </x14:dataValidation>
        <x14:dataValidation type="list" allowBlank="1" showInputMessage="1" showErrorMessage="1" errorTitle="Fórmula inexistente" error="Escolha uma fórmula entre as disponíveis." xr:uid="{00000000-0002-0000-0000-000007000000}">
          <x14:formula1>
            <xm:f>OFFSET('Opcoes_perda-de-carga'!$B$3:$B$8,0,0,COUNTA('Opcoes_perda-de-carga'!$B$3:$B$100))</xm:f>
          </x14:formula1>
          <xm:sqref>C25</xm:sqref>
        </x14:dataValidation>
        <x14:dataValidation type="list" allowBlank="1" showInputMessage="1" showErrorMessage="1" xr:uid="{00000000-0002-0000-0000-000008000000}">
          <x14:formula1>
            <xm:f>OFFSET(Unidades!$R$4,0,0,COUNTA(Unidades!$R$4:$R$100))</xm:f>
          </x14:formula1>
          <xm:sqref>G30:H30</xm:sqref>
        </x14:dataValidation>
        <x14:dataValidation type="list" allowBlank="1" showInputMessage="1" showErrorMessage="1" xr:uid="{00000000-0002-0000-0000-000009000000}">
          <x14:formula1>
            <xm:f>OFFSET(Unidades!$P$4,0,0,COUNTA(Unidades!$P$4:$P$100))</xm:f>
          </x14:formula1>
          <xm:sqref>G26:H26</xm:sqref>
        </x14:dataValidation>
        <x14:dataValidation type="list" allowBlank="1" showInputMessage="1" showErrorMessage="1" error="Unidade de diâmetro inválida." xr:uid="{00000000-0002-0000-0000-000003000000}">
          <x14:formula1>
            <xm:f>OFFSET(Unidades!$D$4,0,0,COUNTA(Unidades!$D$4:$D$100))</xm:f>
          </x14:formula1>
          <xm:sqref>G15:H18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M60"/>
  <sheetViews>
    <sheetView showGridLines="0" workbookViewId="0">
      <selection activeCell="D6" sqref="D6"/>
    </sheetView>
  </sheetViews>
  <sheetFormatPr defaultColWidth="9.109375" defaultRowHeight="14.4"/>
  <cols>
    <col min="1" max="1" width="3.6640625" style="53" customWidth="1"/>
    <col min="2" max="2" width="22.44140625" style="53" customWidth="1"/>
    <col min="3" max="3" width="7.88671875" style="53" customWidth="1"/>
    <col min="4" max="4" width="14.33203125" style="53" customWidth="1"/>
    <col min="5" max="5" width="11" style="53" hidden="1" customWidth="1"/>
    <col min="6" max="7" width="5.33203125" style="53" customWidth="1"/>
    <col min="8" max="8" width="9.109375" style="53"/>
    <col min="9" max="9" width="27.44140625" style="53" customWidth="1"/>
    <col min="10" max="10" width="6.88671875" style="53" customWidth="1"/>
    <col min="11" max="11" width="9.109375" style="53"/>
    <col min="12" max="12" width="9.109375" style="53" hidden="1" customWidth="1"/>
    <col min="13" max="13" width="7.44140625" style="53" customWidth="1"/>
    <col min="14" max="16384" width="9.109375" style="53"/>
  </cols>
  <sheetData>
    <row r="1" spans="2:13" ht="15" thickBot="1"/>
    <row r="2" spans="2:13" ht="15" thickBot="1">
      <c r="B2" s="120" t="s">
        <v>89</v>
      </c>
      <c r="C2" s="121"/>
      <c r="D2" s="121"/>
      <c r="E2" s="121"/>
      <c r="F2" s="121"/>
      <c r="G2" s="122"/>
      <c r="I2" s="120" t="s">
        <v>96</v>
      </c>
      <c r="J2" s="121"/>
      <c r="K2" s="121"/>
      <c r="L2" s="121"/>
      <c r="M2" s="122"/>
    </row>
    <row r="3" spans="2:13" ht="15" thickBot="1">
      <c r="B3" s="11" t="s">
        <v>34</v>
      </c>
      <c r="C3" s="12" t="s">
        <v>18</v>
      </c>
      <c r="D3" s="30">
        <f>Rugosidade_absoluta/Di</f>
        <v>2E-3</v>
      </c>
      <c r="E3" s="14"/>
      <c r="F3" s="36"/>
      <c r="G3" s="37"/>
      <c r="I3" s="54"/>
      <c r="J3" s="55"/>
      <c r="K3" s="55"/>
      <c r="L3" s="55"/>
      <c r="M3" s="56"/>
    </row>
    <row r="4" spans="2:13" ht="15" thickBot="1">
      <c r="B4" s="11" t="s">
        <v>31</v>
      </c>
      <c r="C4" s="12" t="s">
        <v>15</v>
      </c>
      <c r="D4" s="15">
        <f>Massa_Especifica*V*Di/Viscosidade</f>
        <v>254138.61312913845</v>
      </c>
      <c r="E4" s="15"/>
      <c r="F4" s="38"/>
      <c r="G4" s="39"/>
      <c r="I4" s="120" t="s">
        <v>46</v>
      </c>
      <c r="J4" s="121"/>
      <c r="K4" s="121"/>
      <c r="L4" s="121"/>
      <c r="M4" s="122"/>
    </row>
    <row r="5" spans="2:13">
      <c r="B5" s="11" t="s">
        <v>32</v>
      </c>
      <c r="C5" s="12" t="s">
        <v>16</v>
      </c>
      <c r="D5" s="30">
        <f>A/VLOOKUP(F5,Unidades!$F:$G,2,FALSE)</f>
        <v>1.9634954084936209E-3</v>
      </c>
      <c r="E5" s="14">
        <f>PI()*Di^2/4</f>
        <v>1.9634954084936209E-3</v>
      </c>
      <c r="F5" s="48" t="s">
        <v>3</v>
      </c>
      <c r="G5" s="49"/>
      <c r="I5" s="149" t="s">
        <v>182</v>
      </c>
      <c r="J5" s="150"/>
      <c r="K5" s="150"/>
      <c r="L5" s="150"/>
      <c r="M5" s="151"/>
    </row>
    <row r="6" spans="2:13" ht="15" thickBot="1">
      <c r="B6" s="16" t="str">
        <f>IF(Perda_de_Carga!C13="V =","Vazão volumétrica","Velocidade")</f>
        <v>Velocidade</v>
      </c>
      <c r="C6" s="17" t="str">
        <f>IF(Perda_de_Carga!C13="V =","Q =","V =")</f>
        <v>V =</v>
      </c>
      <c r="D6" s="31">
        <f>IF(Perda_de_Carga!C13="V =",Q/VLOOKUP($G6,Unidades!J:K,2,FALSE),V/VLOOKUP($F6,Unidades!H:I,2,FALSE))</f>
        <v>5.0929581789406502</v>
      </c>
      <c r="E6" s="22"/>
      <c r="F6" s="17" t="s">
        <v>0</v>
      </c>
      <c r="G6" s="57" t="s">
        <v>4</v>
      </c>
      <c r="I6" s="23" t="s">
        <v>48</v>
      </c>
      <c r="J6" s="12" t="s">
        <v>19</v>
      </c>
      <c r="K6" s="30">
        <f>D12</f>
        <v>2.4113092973708665E-2</v>
      </c>
      <c r="L6" s="30"/>
      <c r="M6" s="13"/>
    </row>
    <row r="7" spans="2:13">
      <c r="B7" s="44" t="s">
        <v>169</v>
      </c>
      <c r="C7" s="68"/>
      <c r="D7" s="152" t="str">
        <f>IF(Re&lt;2000,"laminar",IF(Re&lt;=4000,"transicional","turbulento"))</f>
        <v>turbulento</v>
      </c>
      <c r="E7" s="152"/>
      <c r="F7" s="152"/>
      <c r="G7" s="153"/>
      <c r="I7" s="23" t="s">
        <v>49</v>
      </c>
      <c r="J7" s="12" t="s">
        <v>20</v>
      </c>
      <c r="K7" s="30">
        <f>L7/VLOOKUP(M7,Unidades!$P:$Q,2,FALSE)</f>
        <v>0.63756450873773518</v>
      </c>
      <c r="L7" s="30">
        <f>K6/Di*V^2/2/9.81</f>
        <v>0.63756450873773518</v>
      </c>
      <c r="M7" s="88" t="s">
        <v>7</v>
      </c>
    </row>
    <row r="8" spans="2:13" ht="15" thickBot="1">
      <c r="B8" s="11" t="s">
        <v>170</v>
      </c>
      <c r="C8" s="12" t="s">
        <v>171</v>
      </c>
      <c r="D8" s="46">
        <f>SQRT(IF(D7="laminar",$K$10,K26)/8)*V</f>
        <v>0.27960927717793055</v>
      </c>
      <c r="E8" s="55"/>
      <c r="F8" s="83" t="s">
        <v>0</v>
      </c>
      <c r="G8" s="84"/>
      <c r="I8" s="34" t="s">
        <v>50</v>
      </c>
      <c r="J8" s="35" t="s">
        <v>88</v>
      </c>
      <c r="K8" s="32">
        <f>K7*L_tub</f>
        <v>63.756450873773517</v>
      </c>
      <c r="L8" s="32"/>
      <c r="M8" s="58" t="s">
        <v>1</v>
      </c>
    </row>
    <row r="9" spans="2:13" ht="16.2">
      <c r="B9" s="11" t="s">
        <v>174</v>
      </c>
      <c r="C9" s="67" t="s">
        <v>176</v>
      </c>
      <c r="D9" s="81">
        <f>Rugosidade_absoluta*D8*Massa_Especifica/Viscosidade</f>
        <v>27.90500586235747</v>
      </c>
      <c r="E9" s="55"/>
      <c r="F9" s="83"/>
      <c r="G9" s="84"/>
      <c r="I9" s="149" t="s">
        <v>164</v>
      </c>
      <c r="J9" s="150"/>
      <c r="K9" s="150"/>
      <c r="L9" s="150"/>
      <c r="M9" s="151"/>
    </row>
    <row r="10" spans="2:13">
      <c r="B10" s="71" t="s">
        <v>177</v>
      </c>
      <c r="C10" s="72"/>
      <c r="D10" s="154" t="str">
        <f>IF(Re&gt;4000,IF(D9&lt;5,"hidraulicamente liso",IF(D9&lt;=70,"rugosidade transicional","totalmente rugoso")),"")</f>
        <v>rugosidade transicional</v>
      </c>
      <c r="E10" s="154"/>
      <c r="F10" s="154"/>
      <c r="G10" s="155"/>
      <c r="I10" s="23" t="s">
        <v>48</v>
      </c>
      <c r="J10" s="12" t="s">
        <v>19</v>
      </c>
      <c r="K10" s="30">
        <f>64/Re</f>
        <v>2.5183107443605557E-4</v>
      </c>
      <c r="L10" s="30"/>
      <c r="M10" s="13"/>
    </row>
    <row r="11" spans="2:13">
      <c r="B11" s="158" t="s">
        <v>180</v>
      </c>
      <c r="C11" s="159"/>
      <c r="D11" s="156" t="str">
        <f>IF(Re&lt;2000,"laminar",IF($D$9&lt;5,"Prandtl",IF($D$9&lt;=70,"Colebrook-White","Nikuradse")))</f>
        <v>Colebrook-White</v>
      </c>
      <c r="E11" s="156"/>
      <c r="F11" s="156"/>
      <c r="G11" s="157"/>
      <c r="I11" s="23" t="s">
        <v>49</v>
      </c>
      <c r="J11" s="12" t="s">
        <v>20</v>
      </c>
      <c r="K11" s="30">
        <f>L11/VLOOKUP(M11,Unidades!$P:$Q,2,FALSE)</f>
        <v>6.6585632723592247E-3</v>
      </c>
      <c r="L11" s="30">
        <f>K10/Di*V^2/2/9.81</f>
        <v>6.6585632723592247E-3</v>
      </c>
      <c r="M11" s="88" t="s">
        <v>7</v>
      </c>
    </row>
    <row r="12" spans="2:13" ht="15" thickBot="1">
      <c r="B12" s="69" t="s">
        <v>181</v>
      </c>
      <c r="C12" s="17" t="s">
        <v>19</v>
      </c>
      <c r="D12" s="82">
        <f>IF(Re&lt;2000,K10,IF($D$9&lt;5,K14,IF($D$9&lt;=70,K26,K22)))</f>
        <v>2.4113092973708665E-2</v>
      </c>
      <c r="E12" s="70"/>
      <c r="F12" s="85"/>
      <c r="G12" s="86"/>
      <c r="I12" s="34" t="s">
        <v>50</v>
      </c>
      <c r="J12" s="35" t="s">
        <v>88</v>
      </c>
      <c r="K12" s="32">
        <f>K11*L_tub</f>
        <v>0.66585632723592247</v>
      </c>
      <c r="L12" s="32"/>
      <c r="M12" s="58" t="s">
        <v>1</v>
      </c>
    </row>
    <row r="13" spans="2:13">
      <c r="I13" s="149" t="s">
        <v>167</v>
      </c>
      <c r="J13" s="150"/>
      <c r="K13" s="150"/>
      <c r="L13" s="150"/>
      <c r="M13" s="151"/>
    </row>
    <row r="14" spans="2:13">
      <c r="I14" s="23" t="s">
        <v>48</v>
      </c>
      <c r="J14" s="12" t="s">
        <v>19</v>
      </c>
      <c r="K14" s="30">
        <f>1/Prandtl!$C$56^2</f>
        <v>1.4929614805584182E-2</v>
      </c>
      <c r="L14" s="30"/>
      <c r="M14" s="13"/>
    </row>
    <row r="15" spans="2:13">
      <c r="I15" s="23" t="s">
        <v>49</v>
      </c>
      <c r="J15" s="12" t="s">
        <v>20</v>
      </c>
      <c r="K15" s="30">
        <f>L15/VLOOKUP(M15,Unidades!$P:$Q,2,FALSE)</f>
        <v>0.39474788819270706</v>
      </c>
      <c r="L15" s="30">
        <f>K14/Di*V^2/2/9.81</f>
        <v>0.39474788819270706</v>
      </c>
      <c r="M15" s="88" t="s">
        <v>7</v>
      </c>
    </row>
    <row r="16" spans="2:13" ht="15" thickBot="1">
      <c r="I16" s="34" t="s">
        <v>50</v>
      </c>
      <c r="J16" s="35" t="s">
        <v>88</v>
      </c>
      <c r="K16" s="32">
        <f>K15*L_tub</f>
        <v>39.474788819270707</v>
      </c>
      <c r="L16" s="32"/>
      <c r="M16" s="58" t="s">
        <v>1</v>
      </c>
    </row>
    <row r="17" spans="9:13">
      <c r="I17" s="149" t="s">
        <v>172</v>
      </c>
      <c r="J17" s="150"/>
      <c r="K17" s="150"/>
      <c r="L17" s="150"/>
      <c r="M17" s="151"/>
    </row>
    <row r="18" spans="9:13">
      <c r="I18" s="23" t="s">
        <v>48</v>
      </c>
      <c r="J18" s="12" t="s">
        <v>19</v>
      </c>
      <c r="K18" s="30">
        <f>0.316*Re^(-1/4)</f>
        <v>1.4074060666249298E-2</v>
      </c>
      <c r="L18" s="30"/>
      <c r="M18" s="13"/>
    </row>
    <row r="19" spans="9:13">
      <c r="I19" s="23" t="s">
        <v>49</v>
      </c>
      <c r="J19" s="12" t="s">
        <v>20</v>
      </c>
      <c r="K19" s="30">
        <f>L19/VLOOKUP(M19,Unidades!$P:$Q,2,FALSE)</f>
        <v>0.37212652828925841</v>
      </c>
      <c r="L19" s="30">
        <f>K18/Di*V^2/2/9.81</f>
        <v>0.37212652828925841</v>
      </c>
      <c r="M19" s="88" t="s">
        <v>7</v>
      </c>
    </row>
    <row r="20" spans="9:13" ht="15" thickBot="1">
      <c r="I20" s="34" t="s">
        <v>50</v>
      </c>
      <c r="J20" s="35" t="s">
        <v>88</v>
      </c>
      <c r="K20" s="32">
        <f>K19*L_tub</f>
        <v>37.21265282892584</v>
      </c>
      <c r="L20" s="32"/>
      <c r="M20" s="58" t="s">
        <v>1</v>
      </c>
    </row>
    <row r="21" spans="9:13">
      <c r="I21" s="149" t="s">
        <v>187</v>
      </c>
      <c r="J21" s="150"/>
      <c r="K21" s="150"/>
      <c r="L21" s="150"/>
      <c r="M21" s="151"/>
    </row>
    <row r="22" spans="9:13">
      <c r="I22" s="23" t="s">
        <v>48</v>
      </c>
      <c r="J22" s="12" t="s">
        <v>19</v>
      </c>
      <c r="K22" s="30">
        <f>(-2*LOG10(Rugosidade_relativa/3.7))^-2</f>
        <v>2.3420495762304316E-2</v>
      </c>
      <c r="L22" s="30"/>
      <c r="M22" s="13"/>
    </row>
    <row r="23" spans="9:13">
      <c r="I23" s="23" t="s">
        <v>49</v>
      </c>
      <c r="J23" s="12" t="s">
        <v>20</v>
      </c>
      <c r="K23" s="30">
        <f>L23/VLOOKUP(M23,Unidades!$P:$Q,2,FALSE)</f>
        <v>0.61925182685475977</v>
      </c>
      <c r="L23" s="30">
        <f>K22/Di*V^2/2/9.81</f>
        <v>0.61925182685475977</v>
      </c>
      <c r="M23" s="88" t="s">
        <v>7</v>
      </c>
    </row>
    <row r="24" spans="9:13" ht="15" thickBot="1">
      <c r="I24" s="34" t="s">
        <v>50</v>
      </c>
      <c r="J24" s="35" t="s">
        <v>88</v>
      </c>
      <c r="K24" s="32">
        <f>K23*L_tub</f>
        <v>61.925182685475974</v>
      </c>
      <c r="L24" s="32"/>
      <c r="M24" s="58" t="s">
        <v>1</v>
      </c>
    </row>
    <row r="25" spans="9:13">
      <c r="I25" s="149" t="s">
        <v>186</v>
      </c>
      <c r="J25" s="150"/>
      <c r="K25" s="150"/>
      <c r="L25" s="150"/>
      <c r="M25" s="151"/>
    </row>
    <row r="26" spans="9:13">
      <c r="I26" s="23" t="s">
        <v>48</v>
      </c>
      <c r="J26" s="12" t="s">
        <v>19</v>
      </c>
      <c r="K26" s="30">
        <f>1/'Colebrook-White'!$C$56^2</f>
        <v>2.4113092973708665E-2</v>
      </c>
      <c r="L26" s="30"/>
      <c r="M26" s="13"/>
    </row>
    <row r="27" spans="9:13">
      <c r="I27" s="23" t="s">
        <v>49</v>
      </c>
      <c r="J27" s="12" t="s">
        <v>20</v>
      </c>
      <c r="K27" s="30">
        <f>L27/VLOOKUP(M27,Unidades!$P:$Q,2,FALSE)</f>
        <v>0.63756450873773518</v>
      </c>
      <c r="L27" s="30">
        <f>K26/Di*V^2/2/9.81</f>
        <v>0.63756450873773518</v>
      </c>
      <c r="M27" s="88" t="s">
        <v>7</v>
      </c>
    </row>
    <row r="28" spans="9:13" ht="15" thickBot="1">
      <c r="I28" s="34" t="s">
        <v>50</v>
      </c>
      <c r="J28" s="35" t="s">
        <v>88</v>
      </c>
      <c r="K28" s="32">
        <f>K27*L_tub</f>
        <v>63.756450873773517</v>
      </c>
      <c r="L28" s="32"/>
      <c r="M28" s="58" t="s">
        <v>1</v>
      </c>
    </row>
    <row r="29" spans="9:13">
      <c r="I29" s="149" t="s">
        <v>183</v>
      </c>
      <c r="J29" s="150"/>
      <c r="K29" s="150"/>
      <c r="L29" s="150"/>
      <c r="M29" s="151"/>
    </row>
    <row r="30" spans="9:13">
      <c r="I30" s="23" t="s">
        <v>48</v>
      </c>
      <c r="J30" s="12" t="s">
        <v>19</v>
      </c>
      <c r="K30" s="30">
        <f>0.25*(LOG10(Rugosidade_relativa/3.7+5.74/Re^0.9))^-2</f>
        <v>2.4287194204063459E-2</v>
      </c>
      <c r="L30" s="30"/>
      <c r="M30" s="13"/>
    </row>
    <row r="31" spans="9:13">
      <c r="I31" s="23" t="s">
        <v>49</v>
      </c>
      <c r="J31" s="12" t="s">
        <v>20</v>
      </c>
      <c r="K31" s="30">
        <f>L31/VLOOKUP(M31,Unidades!$P:$Q,2,FALSE)</f>
        <v>0.64216784873741173</v>
      </c>
      <c r="L31" s="30">
        <f>K30/Di*V^2/2/9.81</f>
        <v>0.64216784873741173</v>
      </c>
      <c r="M31" s="88" t="s">
        <v>7</v>
      </c>
    </row>
    <row r="32" spans="9:13" ht="15" thickBot="1">
      <c r="I32" s="34" t="s">
        <v>50</v>
      </c>
      <c r="J32" s="35" t="s">
        <v>88</v>
      </c>
      <c r="K32" s="32">
        <f>K31*L_tub</f>
        <v>64.216784873741176</v>
      </c>
      <c r="L32" s="32"/>
      <c r="M32" s="58" t="s">
        <v>1</v>
      </c>
    </row>
    <row r="33" spans="9:13">
      <c r="I33" s="149" t="s">
        <v>184</v>
      </c>
      <c r="J33" s="150"/>
      <c r="K33" s="150"/>
      <c r="L33" s="150"/>
      <c r="M33" s="151"/>
    </row>
    <row r="34" spans="9:13">
      <c r="I34" s="23" t="s">
        <v>48</v>
      </c>
      <c r="J34" s="12" t="s">
        <v>19</v>
      </c>
      <c r="K34" s="30">
        <f>((64/Re)^8+9.5*(LN(Rugosidade_relativa/3.71+5.74/Re^0.9)-(2500/Re)^6)^-16)^0.125</f>
        <v>2.4262992181502168E-2</v>
      </c>
      <c r="L34" s="30"/>
      <c r="M34" s="13"/>
    </row>
    <row r="35" spans="9:13">
      <c r="I35" s="23" t="s">
        <v>49</v>
      </c>
      <c r="J35" s="12" t="s">
        <v>20</v>
      </c>
      <c r="K35" s="30">
        <f>L35/VLOOKUP(M35,Unidades!$P:$Q,2,FALSE)</f>
        <v>0.64152793287752696</v>
      </c>
      <c r="L35" s="30">
        <f>K34/Di*V^2/2/9.81</f>
        <v>0.64152793287752696</v>
      </c>
      <c r="M35" s="88" t="s">
        <v>7</v>
      </c>
    </row>
    <row r="36" spans="9:13" ht="15" thickBot="1">
      <c r="I36" s="34" t="s">
        <v>50</v>
      </c>
      <c r="J36" s="35" t="s">
        <v>88</v>
      </c>
      <c r="K36" s="32">
        <f>K35*L_tub</f>
        <v>64.152793287752701</v>
      </c>
      <c r="L36" s="32"/>
      <c r="M36" s="58" t="s">
        <v>1</v>
      </c>
    </row>
    <row r="37" spans="9:13">
      <c r="I37" s="149" t="s">
        <v>185</v>
      </c>
      <c r="J37" s="150"/>
      <c r="K37" s="150"/>
      <c r="L37" s="150"/>
      <c r="M37" s="151"/>
    </row>
    <row r="38" spans="9:13">
      <c r="I38" s="23" t="s">
        <v>48</v>
      </c>
      <c r="J38" s="12" t="s">
        <v>19</v>
      </c>
      <c r="K38" s="30">
        <f>(-1.8*LOG(6.9/Re+(Rugosidade_relativa/3.7)^1.11))^-2</f>
        <v>2.4090913600532962E-2</v>
      </c>
      <c r="L38" s="30"/>
      <c r="M38" s="13"/>
    </row>
    <row r="39" spans="9:13">
      <c r="I39" s="23" t="s">
        <v>49</v>
      </c>
      <c r="J39" s="12" t="s">
        <v>20</v>
      </c>
      <c r="K39" s="30">
        <f>L39/VLOOKUP(M39,Unidades!$P:$Q,2,FALSE)</f>
        <v>0.63697807292967468</v>
      </c>
      <c r="L39" s="30">
        <f>K38/Di*V^2/2/9.81</f>
        <v>0.63697807292967468</v>
      </c>
      <c r="M39" s="88" t="s">
        <v>7</v>
      </c>
    </row>
    <row r="40" spans="9:13" ht="15" thickBot="1">
      <c r="I40" s="34" t="s">
        <v>50</v>
      </c>
      <c r="J40" s="35" t="s">
        <v>88</v>
      </c>
      <c r="K40" s="32">
        <f>K39*L_tub</f>
        <v>63.697807292967468</v>
      </c>
      <c r="L40" s="32"/>
      <c r="M40" s="58" t="s">
        <v>1</v>
      </c>
    </row>
    <row r="41" spans="9:13" ht="15" thickBot="1">
      <c r="I41" s="54"/>
      <c r="J41" s="55"/>
      <c r="K41" s="55"/>
      <c r="L41" s="55"/>
      <c r="M41" s="56"/>
    </row>
    <row r="42" spans="9:13" ht="15" thickBot="1">
      <c r="I42" s="120" t="s">
        <v>5</v>
      </c>
      <c r="J42" s="121"/>
      <c r="K42" s="121"/>
      <c r="L42" s="121"/>
      <c r="M42" s="122"/>
    </row>
    <row r="43" spans="9:13">
      <c r="I43" s="23" t="s">
        <v>49</v>
      </c>
      <c r="J43" s="12" t="s">
        <v>20</v>
      </c>
      <c r="K43" s="30">
        <f>L43/VLOOKUP(M43,Unidades!$P:$Q,2,FALSE)</f>
        <v>0.65596456788881152</v>
      </c>
      <c r="L43" s="30">
        <f>10.65*Q^1.85/C_HW^1.85/Di^4.87</f>
        <v>0.65596456788881152</v>
      </c>
      <c r="M43" s="88" t="s">
        <v>7</v>
      </c>
    </row>
    <row r="44" spans="9:13" ht="15" thickBot="1">
      <c r="I44" s="34" t="s">
        <v>50</v>
      </c>
      <c r="J44" s="35" t="s">
        <v>88</v>
      </c>
      <c r="K44" s="32">
        <f>K43*L_tub</f>
        <v>65.596456788881156</v>
      </c>
      <c r="L44" s="32"/>
      <c r="M44" s="58" t="s">
        <v>1</v>
      </c>
    </row>
    <row r="45" spans="9:13" ht="15" thickBot="1">
      <c r="I45" s="54"/>
      <c r="J45" s="55"/>
      <c r="K45" s="55"/>
      <c r="L45" s="55"/>
      <c r="M45" s="56"/>
    </row>
    <row r="46" spans="9:13" ht="15" thickBot="1">
      <c r="I46" s="120" t="s">
        <v>6</v>
      </c>
      <c r="J46" s="121"/>
      <c r="K46" s="121"/>
      <c r="L46" s="121"/>
      <c r="M46" s="122"/>
    </row>
    <row r="47" spans="9:13">
      <c r="I47" s="50" t="s">
        <v>8</v>
      </c>
      <c r="J47" s="51"/>
      <c r="K47" s="51"/>
      <c r="L47" s="51"/>
      <c r="M47" s="52"/>
    </row>
    <row r="48" spans="9:13">
      <c r="I48" s="23" t="s">
        <v>49</v>
      </c>
      <c r="J48" s="12" t="s">
        <v>20</v>
      </c>
      <c r="K48" s="30">
        <f>L48/VLOOKUP(M48,Unidades!$P:$Q,2,FALSE)</f>
        <v>0.78449953834876407</v>
      </c>
      <c r="L48" s="30">
        <f>0.002021*(Q^1.88)/(Di^4.88)</f>
        <v>0.78449953834876407</v>
      </c>
      <c r="M48" s="88" t="s">
        <v>7</v>
      </c>
    </row>
    <row r="49" spans="9:13" ht="15" thickBot="1">
      <c r="I49" s="34" t="s">
        <v>50</v>
      </c>
      <c r="J49" s="35" t="s">
        <v>88</v>
      </c>
      <c r="K49" s="32">
        <f>K48*L_tub</f>
        <v>78.44995383487641</v>
      </c>
      <c r="L49" s="32"/>
      <c r="M49" s="58" t="s">
        <v>1</v>
      </c>
    </row>
    <row r="50" spans="9:13">
      <c r="I50" s="50" t="s">
        <v>22</v>
      </c>
      <c r="J50" s="51"/>
      <c r="K50" s="51"/>
      <c r="L50" s="51"/>
      <c r="M50" s="52"/>
    </row>
    <row r="51" spans="9:13">
      <c r="I51" s="23" t="s">
        <v>49</v>
      </c>
      <c r="J51" s="12" t="s">
        <v>20</v>
      </c>
      <c r="K51" s="30">
        <f>L51/VLOOKUP(M51,Unidades!$P:$Q,2,FALSE)</f>
        <v>0.41606584488699255</v>
      </c>
      <c r="L51" s="30">
        <f>0.0008695*(Q^1.75)/(Di^4.75)</f>
        <v>0.41606584488699255</v>
      </c>
      <c r="M51" s="88" t="s">
        <v>7</v>
      </c>
    </row>
    <row r="52" spans="9:13" ht="15" thickBot="1">
      <c r="I52" s="34" t="s">
        <v>50</v>
      </c>
      <c r="J52" s="35" t="s">
        <v>88</v>
      </c>
      <c r="K52" s="32">
        <f>K51*L_tub</f>
        <v>41.606584488699255</v>
      </c>
      <c r="L52" s="32"/>
      <c r="M52" s="58" t="s">
        <v>1</v>
      </c>
    </row>
    <row r="53" spans="9:13" ht="15" thickBot="1">
      <c r="I53" s="54"/>
      <c r="J53" s="55"/>
      <c r="K53" s="55"/>
      <c r="L53" s="55"/>
      <c r="M53" s="56"/>
    </row>
    <row r="54" spans="9:13" ht="15" thickBot="1">
      <c r="I54" s="120" t="s">
        <v>188</v>
      </c>
      <c r="J54" s="121"/>
      <c r="K54" s="121"/>
      <c r="L54" s="121"/>
      <c r="M54" s="122"/>
    </row>
    <row r="55" spans="9:13">
      <c r="I55" s="74" t="s">
        <v>189</v>
      </c>
      <c r="J55" s="75"/>
      <c r="K55" s="75"/>
      <c r="L55" s="75"/>
      <c r="M55" s="76"/>
    </row>
    <row r="56" spans="9:13">
      <c r="I56" s="77" t="s">
        <v>49</v>
      </c>
      <c r="J56" s="12" t="s">
        <v>20</v>
      </c>
      <c r="K56" s="30">
        <f>L56/VLOOKUP(M56,Unidades!$P:$Q,2,FALSE)</f>
        <v>0.67135178881707935</v>
      </c>
      <c r="L56" s="30">
        <f>6.1*0.00023*(Q^1.75)/(Di^4.75)</f>
        <v>0.67135178881707935</v>
      </c>
      <c r="M56" s="88" t="s">
        <v>7</v>
      </c>
    </row>
    <row r="57" spans="9:13" ht="15" thickBot="1">
      <c r="I57" s="34" t="s">
        <v>50</v>
      </c>
      <c r="J57" s="35" t="s">
        <v>88</v>
      </c>
      <c r="K57" s="32">
        <f>K56*L_tub</f>
        <v>67.13517888170793</v>
      </c>
      <c r="L57" s="32"/>
      <c r="M57" s="58" t="s">
        <v>1</v>
      </c>
    </row>
    <row r="58" spans="9:13">
      <c r="I58" s="74" t="s">
        <v>190</v>
      </c>
      <c r="J58" s="75"/>
      <c r="K58" s="75"/>
      <c r="L58" s="75"/>
      <c r="M58" s="76"/>
    </row>
    <row r="59" spans="9:13">
      <c r="I59" s="77" t="s">
        <v>49</v>
      </c>
      <c r="J59" s="12" t="s">
        <v>20</v>
      </c>
      <c r="K59" s="30">
        <f>L59/VLOOKUP(M59,Unidades!$P:$Q,2,FALSE)</f>
        <v>0.35027049851325881</v>
      </c>
      <c r="L59" s="30">
        <f>6.1*0.00012*(Q^1.75)/(Di^4.75)</f>
        <v>0.35027049851325881</v>
      </c>
      <c r="M59" s="88" t="s">
        <v>7</v>
      </c>
    </row>
    <row r="60" spans="9:13" ht="15" thickBot="1">
      <c r="I60" s="34" t="s">
        <v>50</v>
      </c>
      <c r="J60" s="35" t="s">
        <v>88</v>
      </c>
      <c r="K60" s="32">
        <f>K59*L_tub</f>
        <v>35.027049851325884</v>
      </c>
      <c r="L60" s="32"/>
      <c r="M60" s="58" t="s">
        <v>1</v>
      </c>
    </row>
  </sheetData>
  <sheetProtection algorithmName="SHA-512" hashValue="m+Mcjv64336/qKpi7Whl4J3XxpRuv0RB9t6slvLXurrYOqV29jbPf/+xuqFW3Q7oSfgEEipEvZSSW/fUQluSmw==" saltValue="BuI1CrD1B5QWU65RmAGeuw==" spinCount="100000" sheet="1" objects="1" scenarios="1"/>
  <mergeCells count="19">
    <mergeCell ref="B2:G2"/>
    <mergeCell ref="I4:M4"/>
    <mergeCell ref="I29:M29"/>
    <mergeCell ref="I5:M5"/>
    <mergeCell ref="I17:M17"/>
    <mergeCell ref="I21:M21"/>
    <mergeCell ref="I25:M25"/>
    <mergeCell ref="B11:C11"/>
    <mergeCell ref="I2:M2"/>
    <mergeCell ref="I9:M9"/>
    <mergeCell ref="I13:M13"/>
    <mergeCell ref="I54:M54"/>
    <mergeCell ref="I33:M33"/>
    <mergeCell ref="I42:M42"/>
    <mergeCell ref="I46:M46"/>
    <mergeCell ref="D7:G7"/>
    <mergeCell ref="D10:G10"/>
    <mergeCell ref="D11:G11"/>
    <mergeCell ref="I37:M37"/>
  </mergeCells>
  <conditionalFormatting sqref="F6">
    <cfRule type="expression" dxfId="5" priority="3">
      <formula>($C$11="V =")</formula>
    </cfRule>
  </conditionalFormatting>
  <conditionalFormatting sqref="G6">
    <cfRule type="expression" dxfId="4" priority="4">
      <formula>($C$11="Q =")</formula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A57F8D9-8975-4DCE-9EDF-92E0D3BD46D4}">
            <xm:f>(Perda_de_Carga!$C$13="V =")</xm:f>
            <x14:dxf>
              <font>
                <color theme="0" tint="-0.14996795556505021"/>
              </font>
            </x14:dxf>
          </x14:cfRule>
          <xm:sqref>F6</xm:sqref>
        </x14:conditionalFormatting>
        <x14:conditionalFormatting xmlns:xm="http://schemas.microsoft.com/office/excel/2006/main">
          <x14:cfRule type="expression" priority="1" id="{B0AEAB87-AEA2-415D-9140-2681A29904FA}">
            <xm:f>(Perda_de_Carga!$C$13="Q =")</xm:f>
            <x14:dxf>
              <font>
                <color theme="0" tint="-0.14996795556505021"/>
              </font>
            </x14:dxf>
          </x14:cfRule>
          <xm:sqref>G6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nidade de diâmetro inválida." xr:uid="{00000000-0002-0000-0100-000000000000}">
          <x14:formula1>
            <xm:f>OFFSET(Unidades!$F$4,0,0,COUNTA(Unidades!$F$4:$F$100))</xm:f>
          </x14:formula1>
          <xm:sqref>F5:G5</xm:sqref>
        </x14:dataValidation>
        <x14:dataValidation type="list" allowBlank="1" showInputMessage="1" showErrorMessage="1" xr:uid="{00000000-0002-0000-0100-000001000000}">
          <x14:formula1>
            <xm:f>OFFSET(Unidades!$J$4,0,0,COUNTA(Unidades!$J$4:$J$100))</xm:f>
          </x14:formula1>
          <xm:sqref>G6</xm:sqref>
        </x14:dataValidation>
        <x14:dataValidation type="list" allowBlank="1" showInputMessage="1" showErrorMessage="1" xr:uid="{00000000-0002-0000-0100-000002000000}">
          <x14:formula1>
            <xm:f>OFFSET(Unidades!$H$4,0,0,COUNTA(Unidades!$H$4:$H$100))</xm:f>
          </x14:formula1>
          <xm:sqref>F6</xm:sqref>
        </x14:dataValidation>
        <x14:dataValidation type="list" allowBlank="1" showInputMessage="1" showErrorMessage="1" xr:uid="{00000000-0002-0000-0100-000003000000}">
          <x14:formula1>
            <xm:f>OFFSET(Unidades!$P$4,0,0,COUNTA(Unidades!$P$4:$P$100))</xm:f>
          </x14:formula1>
          <xm:sqref>M31 M35 M27 M43 M48 M51 M7 M11 M15 M19 M23 M39 M56 M59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B2:C16"/>
  <sheetViews>
    <sheetView workbookViewId="0"/>
  </sheetViews>
  <sheetFormatPr defaultRowHeight="14.4"/>
  <cols>
    <col min="1" max="1" width="4" customWidth="1"/>
    <col min="2" max="2" width="44.109375" bestFit="1" customWidth="1"/>
    <col min="3" max="3" width="32.44140625" bestFit="1" customWidth="1"/>
  </cols>
  <sheetData>
    <row r="2" spans="2:3">
      <c r="B2" s="41" t="s">
        <v>94</v>
      </c>
      <c r="C2" s="43" t="s">
        <v>97</v>
      </c>
    </row>
    <row r="3" spans="2:3">
      <c r="B3" s="42" t="s">
        <v>93</v>
      </c>
      <c r="C3" s="42">
        <v>28</v>
      </c>
    </row>
    <row r="4" spans="2:3">
      <c r="B4" s="42" t="s">
        <v>91</v>
      </c>
      <c r="C4" s="42">
        <v>32</v>
      </c>
    </row>
    <row r="5" spans="2:3">
      <c r="B5" s="42" t="s">
        <v>92</v>
      </c>
      <c r="C5" s="42">
        <v>36</v>
      </c>
    </row>
    <row r="6" spans="2:3">
      <c r="B6" s="42" t="s">
        <v>179</v>
      </c>
      <c r="C6" s="42">
        <v>40</v>
      </c>
    </row>
    <row r="7" spans="2:3">
      <c r="B7" s="42" t="s">
        <v>194</v>
      </c>
      <c r="C7" s="42">
        <v>44</v>
      </c>
    </row>
    <row r="8" spans="2:3">
      <c r="B8" s="42" t="s">
        <v>195</v>
      </c>
      <c r="C8" s="42">
        <v>49</v>
      </c>
    </row>
    <row r="9" spans="2:3">
      <c r="B9" s="42" t="s">
        <v>196</v>
      </c>
      <c r="C9" s="73">
        <v>52</v>
      </c>
    </row>
    <row r="10" spans="2:3">
      <c r="B10" s="42" t="s">
        <v>197</v>
      </c>
      <c r="C10" s="73">
        <v>57</v>
      </c>
    </row>
    <row r="11" spans="2:3">
      <c r="B11" s="42" t="s">
        <v>198</v>
      </c>
      <c r="C11" s="73">
        <v>60</v>
      </c>
    </row>
    <row r="12" spans="2:3">
      <c r="B12" s="42"/>
      <c r="C12" s="42"/>
    </row>
    <row r="13" spans="2:3">
      <c r="B13" s="42"/>
      <c r="C13" s="42"/>
    </row>
    <row r="14" spans="2:3">
      <c r="B14" s="42"/>
      <c r="C14" s="42"/>
    </row>
    <row r="15" spans="2:3">
      <c r="B15" s="73"/>
      <c r="C15" s="73"/>
    </row>
    <row r="16" spans="2:3">
      <c r="B16" s="73"/>
      <c r="C16" s="73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B1:B85"/>
  <sheetViews>
    <sheetView showGridLines="0" workbookViewId="0">
      <selection activeCell="C81" sqref="C81"/>
    </sheetView>
  </sheetViews>
  <sheetFormatPr defaultRowHeight="14.4"/>
  <cols>
    <col min="1" max="1" width="4.109375" customWidth="1"/>
    <col min="2" max="2" width="60.6640625" customWidth="1"/>
  </cols>
  <sheetData>
    <row r="1" spans="2:2" ht="15" thickBot="1"/>
    <row r="2" spans="2:2" ht="15" thickBot="1">
      <c r="B2" s="9" t="s">
        <v>35</v>
      </c>
    </row>
    <row r="3" spans="2:2">
      <c r="B3" s="2" t="s">
        <v>33</v>
      </c>
    </row>
    <row r="4" spans="2:2">
      <c r="B4" s="2"/>
    </row>
    <row r="5" spans="2:2">
      <c r="B5" s="2"/>
    </row>
    <row r="6" spans="2:2">
      <c r="B6" s="2"/>
    </row>
    <row r="7" spans="2:2">
      <c r="B7" s="2" t="s">
        <v>31</v>
      </c>
    </row>
    <row r="8" spans="2:2">
      <c r="B8" s="2"/>
    </row>
    <row r="9" spans="2:2">
      <c r="B9" s="2"/>
    </row>
    <row r="10" spans="2:2">
      <c r="B10" s="2"/>
    </row>
    <row r="11" spans="2:2">
      <c r="B11" s="2"/>
    </row>
    <row r="12" spans="2:2">
      <c r="B12" s="2" t="s">
        <v>170</v>
      </c>
    </row>
    <row r="13" spans="2:2">
      <c r="B13" s="2"/>
    </row>
    <row r="14" spans="2:2">
      <c r="B14" s="2"/>
    </row>
    <row r="15" spans="2:2">
      <c r="B15" s="2"/>
    </row>
    <row r="16" spans="2:2">
      <c r="B16" s="2"/>
    </row>
    <row r="17" spans="2:2">
      <c r="B17" s="2" t="s">
        <v>175</v>
      </c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 t="s">
        <v>165</v>
      </c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 t="s">
        <v>164</v>
      </c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 t="s">
        <v>167</v>
      </c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 t="s">
        <v>166</v>
      </c>
    </row>
    <row r="38" spans="2:2">
      <c r="B38" s="2"/>
    </row>
    <row r="39" spans="2:2">
      <c r="B39" s="2"/>
    </row>
    <row r="40" spans="2:2">
      <c r="B40" s="2"/>
    </row>
    <row r="41" spans="2:2">
      <c r="B41" s="2" t="s">
        <v>173</v>
      </c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 t="s">
        <v>12</v>
      </c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 t="s">
        <v>10</v>
      </c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 t="s">
        <v>11</v>
      </c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 t="s">
        <v>178</v>
      </c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 t="s">
        <v>13</v>
      </c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 t="s">
        <v>14</v>
      </c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 t="s">
        <v>40</v>
      </c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 t="s">
        <v>219</v>
      </c>
    </row>
    <row r="83" spans="2:2">
      <c r="B83" s="2"/>
    </row>
    <row r="84" spans="2:2">
      <c r="B84" s="2"/>
    </row>
    <row r="85" spans="2:2" ht="15" thickBot="1">
      <c r="B85" s="3"/>
    </row>
  </sheetData>
  <sheetProtection algorithmName="SHA-512" hashValue="VeXdTQSHTfsMtZowHYszi0MtFL9gb03/l0v11NeABDmnGAopfOcIGGr5p8LLzq0SYgFhtRXyY0jWjge5Ps9JAQ==" saltValue="6k7ok5wFr64cLK6idq6rX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Equation.3" shapeId="5122" r:id="rId4">
          <objectPr defaultSize="0" autoPict="0" r:id="rId5">
            <anchor moveWithCells="1" sizeWithCells="1">
              <from>
                <xdr:col>1</xdr:col>
                <xdr:colOff>45720</xdr:colOff>
                <xdr:row>51</xdr:row>
                <xdr:rowOff>7620</xdr:rowOff>
              </from>
              <to>
                <xdr:col>1</xdr:col>
                <xdr:colOff>1737360</xdr:colOff>
                <xdr:row>54</xdr:row>
                <xdr:rowOff>144780</xdr:rowOff>
              </to>
            </anchor>
          </objectPr>
        </oleObject>
      </mc:Choice>
      <mc:Fallback>
        <oleObject progId="Equation.3" shapeId="5122" r:id="rId4"/>
      </mc:Fallback>
    </mc:AlternateContent>
    <mc:AlternateContent xmlns:mc="http://schemas.openxmlformats.org/markup-compatibility/2006">
      <mc:Choice Requires="x14">
        <oleObject progId="Equation.3" shapeId="5123" r:id="rId6">
          <objectPr defaultSize="0" autoPict="0" r:id="rId7">
            <anchor moveWithCells="1">
              <from>
                <xdr:col>1</xdr:col>
                <xdr:colOff>45720</xdr:colOff>
                <xdr:row>57</xdr:row>
                <xdr:rowOff>7620</xdr:rowOff>
              </from>
              <to>
                <xdr:col>1</xdr:col>
                <xdr:colOff>3924300</xdr:colOff>
                <xdr:row>60</xdr:row>
                <xdr:rowOff>137160</xdr:rowOff>
              </to>
            </anchor>
          </objectPr>
        </oleObject>
      </mc:Choice>
      <mc:Fallback>
        <oleObject progId="Equation.3" shapeId="5123" r:id="rId6"/>
      </mc:Fallback>
    </mc:AlternateContent>
    <mc:AlternateContent xmlns:mc="http://schemas.openxmlformats.org/markup-compatibility/2006">
      <mc:Choice Requires="x14">
        <oleObject progId="Equation.3" shapeId="5124" r:id="rId8">
          <objectPr defaultSize="0" autoPict="0" r:id="rId9">
            <anchor moveWithCells="1">
              <from>
                <xdr:col>1</xdr:col>
                <xdr:colOff>45720</xdr:colOff>
                <xdr:row>46</xdr:row>
                <xdr:rowOff>7620</xdr:rowOff>
              </from>
              <to>
                <xdr:col>1</xdr:col>
                <xdr:colOff>2240280</xdr:colOff>
                <xdr:row>48</xdr:row>
                <xdr:rowOff>175260</xdr:rowOff>
              </to>
            </anchor>
          </objectPr>
        </oleObject>
      </mc:Choice>
      <mc:Fallback>
        <oleObject progId="Equation.3" shapeId="5124" r:id="rId8"/>
      </mc:Fallback>
    </mc:AlternateContent>
    <mc:AlternateContent xmlns:mc="http://schemas.openxmlformats.org/markup-compatibility/2006">
      <mc:Choice Requires="x14">
        <oleObject progId="Equation.3" shapeId="5125" r:id="rId10">
          <objectPr defaultSize="0" autoPict="0" r:id="rId11">
            <anchor moveWithCells="1">
              <from>
                <xdr:col>1</xdr:col>
                <xdr:colOff>38100</xdr:colOff>
                <xdr:row>67</xdr:row>
                <xdr:rowOff>0</xdr:rowOff>
              </from>
              <to>
                <xdr:col>1</xdr:col>
                <xdr:colOff>2049780</xdr:colOff>
                <xdr:row>69</xdr:row>
                <xdr:rowOff>152400</xdr:rowOff>
              </to>
            </anchor>
          </objectPr>
        </oleObject>
      </mc:Choice>
      <mc:Fallback>
        <oleObject progId="Equation.3" shapeId="5125" r:id="rId10"/>
      </mc:Fallback>
    </mc:AlternateContent>
    <mc:AlternateContent xmlns:mc="http://schemas.openxmlformats.org/markup-compatibility/2006">
      <mc:Choice Requires="x14">
        <oleObject progId="Equation.3" shapeId="5126" r:id="rId12">
          <objectPr defaultSize="0" autoPict="0" r:id="rId13">
            <anchor moveWithCells="1">
              <from>
                <xdr:col>1</xdr:col>
                <xdr:colOff>45720</xdr:colOff>
                <xdr:row>72</xdr:row>
                <xdr:rowOff>22860</xdr:rowOff>
              </from>
              <to>
                <xdr:col>1</xdr:col>
                <xdr:colOff>1607820</xdr:colOff>
                <xdr:row>75</xdr:row>
                <xdr:rowOff>7620</xdr:rowOff>
              </to>
            </anchor>
          </objectPr>
        </oleObject>
      </mc:Choice>
      <mc:Fallback>
        <oleObject progId="Equation.3" shapeId="5126" r:id="rId12"/>
      </mc:Fallback>
    </mc:AlternateContent>
    <mc:AlternateContent xmlns:mc="http://schemas.openxmlformats.org/markup-compatibility/2006">
      <mc:Choice Requires="x14">
        <oleObject progId="Equation.3" shapeId="5127" r:id="rId14">
          <objectPr defaultSize="0" autoPict="0" r:id="rId15">
            <anchor moveWithCells="1">
              <from>
                <xdr:col>1</xdr:col>
                <xdr:colOff>45720</xdr:colOff>
                <xdr:row>77</xdr:row>
                <xdr:rowOff>22860</xdr:rowOff>
              </from>
              <to>
                <xdr:col>1</xdr:col>
                <xdr:colOff>1630680</xdr:colOff>
                <xdr:row>80</xdr:row>
                <xdr:rowOff>22860</xdr:rowOff>
              </to>
            </anchor>
          </objectPr>
        </oleObject>
      </mc:Choice>
      <mc:Fallback>
        <oleObject progId="Equation.3" shapeId="5127" r:id="rId14"/>
      </mc:Fallback>
    </mc:AlternateContent>
    <mc:AlternateContent xmlns:mc="http://schemas.openxmlformats.org/markup-compatibility/2006">
      <mc:Choice Requires="x14">
        <oleObject progId="Equation.3" shapeId="5128" r:id="rId16">
          <objectPr defaultSize="0" autoPict="0" r:id="rId17">
            <anchor moveWithCells="1" sizeWithCells="1">
              <from>
                <xdr:col>1</xdr:col>
                <xdr:colOff>38100</xdr:colOff>
                <xdr:row>7</xdr:row>
                <xdr:rowOff>7620</xdr:rowOff>
              </from>
              <to>
                <xdr:col>1</xdr:col>
                <xdr:colOff>1562100</xdr:colOff>
                <xdr:row>9</xdr:row>
                <xdr:rowOff>182880</xdr:rowOff>
              </to>
            </anchor>
          </objectPr>
        </oleObject>
      </mc:Choice>
      <mc:Fallback>
        <oleObject progId="Equation.3" shapeId="5128" r:id="rId16"/>
      </mc:Fallback>
    </mc:AlternateContent>
    <mc:AlternateContent xmlns:mc="http://schemas.openxmlformats.org/markup-compatibility/2006">
      <mc:Choice Requires="x14">
        <oleObject progId="Equation.3" shapeId="5131" r:id="rId18">
          <objectPr defaultSize="0" autoPict="0" r:id="rId19">
            <anchor moveWithCells="1">
              <from>
                <xdr:col>1</xdr:col>
                <xdr:colOff>38100</xdr:colOff>
                <xdr:row>22</xdr:row>
                <xdr:rowOff>0</xdr:rowOff>
              </from>
              <to>
                <xdr:col>1</xdr:col>
                <xdr:colOff>1333500</xdr:colOff>
                <xdr:row>24</xdr:row>
                <xdr:rowOff>182880</xdr:rowOff>
              </to>
            </anchor>
          </objectPr>
        </oleObject>
      </mc:Choice>
      <mc:Fallback>
        <oleObject progId="Equation.3" shapeId="5131" r:id="rId18"/>
      </mc:Fallback>
    </mc:AlternateContent>
    <mc:AlternateContent xmlns:mc="http://schemas.openxmlformats.org/markup-compatibility/2006">
      <mc:Choice Requires="x14">
        <oleObject progId="Equation.3" shapeId="5133" r:id="rId20">
          <objectPr defaultSize="0" autoPict="0" r:id="rId21">
            <anchor moveWithCells="1" sizeWithCells="1">
              <from>
                <xdr:col>1</xdr:col>
                <xdr:colOff>38100</xdr:colOff>
                <xdr:row>3</xdr:row>
                <xdr:rowOff>22860</xdr:rowOff>
              </from>
              <to>
                <xdr:col>1</xdr:col>
                <xdr:colOff>754380</xdr:colOff>
                <xdr:row>4</xdr:row>
                <xdr:rowOff>83820</xdr:rowOff>
              </to>
            </anchor>
          </objectPr>
        </oleObject>
      </mc:Choice>
      <mc:Fallback>
        <oleObject progId="Equation.3" shapeId="5133" r:id="rId20"/>
      </mc:Fallback>
    </mc:AlternateContent>
    <mc:AlternateContent xmlns:mc="http://schemas.openxmlformats.org/markup-compatibility/2006">
      <mc:Choice Requires="x14">
        <oleObject progId="Equation.3" shapeId="5134" r:id="rId22">
          <objectPr defaultSize="0" autoPict="0" r:id="rId23">
            <anchor moveWithCells="1">
              <from>
                <xdr:col>1</xdr:col>
                <xdr:colOff>38100</xdr:colOff>
                <xdr:row>27</xdr:row>
                <xdr:rowOff>0</xdr:rowOff>
              </from>
              <to>
                <xdr:col>1</xdr:col>
                <xdr:colOff>1333500</xdr:colOff>
                <xdr:row>29</xdr:row>
                <xdr:rowOff>182880</xdr:rowOff>
              </to>
            </anchor>
          </objectPr>
        </oleObject>
      </mc:Choice>
      <mc:Fallback>
        <oleObject progId="Equation.3" shapeId="5134" r:id="rId22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B2:S13"/>
  <sheetViews>
    <sheetView workbookViewId="0">
      <selection activeCell="K10" sqref="K10"/>
    </sheetView>
  </sheetViews>
  <sheetFormatPr defaultRowHeight="14.4"/>
  <cols>
    <col min="1" max="1" width="4.109375" customWidth="1"/>
    <col min="6" max="7" width="11.6640625" customWidth="1"/>
    <col min="8" max="8" width="9.109375" customWidth="1"/>
    <col min="9" max="9" width="10" customWidth="1"/>
    <col min="11" max="11" width="11.33203125" customWidth="1"/>
    <col min="12" max="13" width="11" customWidth="1"/>
    <col min="14" max="15" width="11.6640625" customWidth="1"/>
    <col min="16" max="17" width="12.88671875" customWidth="1"/>
    <col min="18" max="19" width="13.88671875" customWidth="1"/>
  </cols>
  <sheetData>
    <row r="2" spans="2:19">
      <c r="B2" s="160" t="s">
        <v>63</v>
      </c>
      <c r="C2" s="160"/>
      <c r="D2" s="160" t="s">
        <v>66</v>
      </c>
      <c r="E2" s="160"/>
      <c r="F2" s="160" t="s">
        <v>74</v>
      </c>
      <c r="G2" s="160"/>
      <c r="H2" s="160" t="s">
        <v>58</v>
      </c>
      <c r="I2" s="160"/>
      <c r="J2" s="160" t="s">
        <v>59</v>
      </c>
      <c r="K2" s="160"/>
      <c r="L2" s="160" t="s">
        <v>68</v>
      </c>
      <c r="M2" s="160"/>
      <c r="N2" s="160" t="s">
        <v>72</v>
      </c>
      <c r="O2" s="160"/>
      <c r="P2" s="160" t="s">
        <v>80</v>
      </c>
      <c r="Q2" s="160"/>
      <c r="R2" s="160" t="s">
        <v>193</v>
      </c>
      <c r="S2" s="160"/>
    </row>
    <row r="3" spans="2:19">
      <c r="B3" s="25" t="s">
        <v>53</v>
      </c>
      <c r="C3" s="25" t="s">
        <v>54</v>
      </c>
      <c r="D3" s="25" t="s">
        <v>53</v>
      </c>
      <c r="E3" s="25" t="s">
        <v>54</v>
      </c>
      <c r="F3" s="25" t="s">
        <v>53</v>
      </c>
      <c r="G3" s="25" t="s">
        <v>54</v>
      </c>
      <c r="H3" s="25" t="s">
        <v>53</v>
      </c>
      <c r="I3" s="25" t="s">
        <v>54</v>
      </c>
      <c r="J3" s="25" t="s">
        <v>53</v>
      </c>
      <c r="K3" s="25" t="s">
        <v>54</v>
      </c>
      <c r="L3" s="25" t="s">
        <v>53</v>
      </c>
      <c r="M3" s="25" t="s">
        <v>54</v>
      </c>
      <c r="N3" s="25" t="s">
        <v>53</v>
      </c>
      <c r="O3" s="25" t="s">
        <v>54</v>
      </c>
      <c r="P3" s="25" t="s">
        <v>53</v>
      </c>
      <c r="Q3" s="25" t="s">
        <v>54</v>
      </c>
      <c r="R3" s="25" t="s">
        <v>53</v>
      </c>
      <c r="S3" s="25" t="s">
        <v>54</v>
      </c>
    </row>
    <row r="4" spans="2:19">
      <c r="B4" t="s">
        <v>1</v>
      </c>
      <c r="C4">
        <v>1</v>
      </c>
      <c r="D4" t="s">
        <v>1</v>
      </c>
      <c r="E4">
        <v>1</v>
      </c>
      <c r="F4" t="s">
        <v>3</v>
      </c>
      <c r="G4">
        <v>1</v>
      </c>
      <c r="H4" t="s">
        <v>0</v>
      </c>
      <c r="I4">
        <v>1</v>
      </c>
      <c r="J4" t="s">
        <v>4</v>
      </c>
      <c r="K4">
        <v>1</v>
      </c>
      <c r="L4" t="s">
        <v>23</v>
      </c>
      <c r="M4">
        <v>1</v>
      </c>
      <c r="N4" t="s">
        <v>2</v>
      </c>
      <c r="O4">
        <v>1</v>
      </c>
      <c r="P4" t="s">
        <v>7</v>
      </c>
      <c r="Q4">
        <v>1</v>
      </c>
      <c r="R4" t="s">
        <v>192</v>
      </c>
      <c r="S4">
        <v>1</v>
      </c>
    </row>
    <row r="5" spans="2:19">
      <c r="B5" t="s">
        <v>64</v>
      </c>
      <c r="C5">
        <v>0.01</v>
      </c>
      <c r="D5" t="s">
        <v>9</v>
      </c>
      <c r="E5">
        <v>1E-3</v>
      </c>
      <c r="F5" t="s">
        <v>75</v>
      </c>
      <c r="G5" s="28">
        <v>1E-4</v>
      </c>
      <c r="H5" t="s">
        <v>55</v>
      </c>
      <c r="I5">
        <v>0.01</v>
      </c>
      <c r="J5" t="s">
        <v>60</v>
      </c>
      <c r="K5">
        <f>1/3600</f>
        <v>2.7777777777777778E-4</v>
      </c>
      <c r="L5" t="s">
        <v>69</v>
      </c>
      <c r="M5">
        <v>1</v>
      </c>
      <c r="N5" t="s">
        <v>73</v>
      </c>
      <c r="O5">
        <v>1000</v>
      </c>
      <c r="P5" t="s">
        <v>78</v>
      </c>
      <c r="Q5">
        <v>0.01</v>
      </c>
      <c r="R5" t="s">
        <v>81</v>
      </c>
      <c r="S5">
        <f>998*9.81</f>
        <v>9790.380000000001</v>
      </c>
    </row>
    <row r="6" spans="2:19">
      <c r="B6" s="26" t="s">
        <v>9</v>
      </c>
      <c r="C6">
        <v>1E-3</v>
      </c>
      <c r="D6" s="26" t="s">
        <v>24</v>
      </c>
      <c r="E6">
        <v>2.5399999999999999E-2</v>
      </c>
      <c r="F6" s="26" t="s">
        <v>77</v>
      </c>
      <c r="G6" s="28">
        <v>9.9999999999999995E-7</v>
      </c>
      <c r="H6" t="s">
        <v>57</v>
      </c>
      <c r="I6">
        <f>0.01/60</f>
        <v>1.6666666666666666E-4</v>
      </c>
      <c r="J6" t="s">
        <v>52</v>
      </c>
      <c r="K6">
        <f>0.001</f>
        <v>1E-3</v>
      </c>
      <c r="L6" s="26" t="s">
        <v>70</v>
      </c>
      <c r="M6">
        <v>0.1</v>
      </c>
      <c r="P6" s="26" t="s">
        <v>79</v>
      </c>
      <c r="Q6">
        <v>1E-3</v>
      </c>
      <c r="R6" s="26" t="s">
        <v>199</v>
      </c>
      <c r="S6">
        <f>S5/100</f>
        <v>97.903800000000004</v>
      </c>
    </row>
    <row r="7" spans="2:19">
      <c r="B7" s="26" t="s">
        <v>65</v>
      </c>
      <c r="C7">
        <v>1000</v>
      </c>
      <c r="D7" s="26"/>
      <c r="E7" s="26"/>
      <c r="F7" s="26" t="s">
        <v>76</v>
      </c>
      <c r="G7" s="26">
        <f>0.0254^2</f>
        <v>6.4515999999999998E-4</v>
      </c>
      <c r="H7" t="s">
        <v>56</v>
      </c>
      <c r="I7">
        <f>0.01/3600</f>
        <v>2.7777777777777779E-6</v>
      </c>
      <c r="J7" t="s">
        <v>61</v>
      </c>
      <c r="K7">
        <f>0.001/60</f>
        <v>1.6666666666666667E-5</v>
      </c>
      <c r="L7" s="26" t="s">
        <v>71</v>
      </c>
      <c r="M7">
        <f>0.1*0.01</f>
        <v>1E-3</v>
      </c>
      <c r="R7" s="26" t="s">
        <v>200</v>
      </c>
      <c r="S7">
        <f>S5/1000</f>
        <v>9.7903800000000007</v>
      </c>
    </row>
    <row r="8" spans="2:19">
      <c r="B8" s="26" t="s">
        <v>24</v>
      </c>
      <c r="C8" s="26">
        <v>2.5399999999999999E-2</v>
      </c>
      <c r="J8" t="s">
        <v>62</v>
      </c>
      <c r="K8">
        <f>0.001/3600</f>
        <v>2.7777777777777776E-7</v>
      </c>
      <c r="R8" s="26" t="s">
        <v>82</v>
      </c>
      <c r="S8">
        <v>9790.380000000001</v>
      </c>
    </row>
    <row r="9" spans="2:19">
      <c r="J9" t="s">
        <v>201</v>
      </c>
      <c r="K9">
        <f>0.158987294928/24/3600</f>
        <v>1.8401307283333336E-6</v>
      </c>
      <c r="R9" s="26" t="s">
        <v>85</v>
      </c>
      <c r="S9" s="89">
        <v>97.903800000000018</v>
      </c>
    </row>
    <row r="10" spans="2:19">
      <c r="J10" t="s">
        <v>202</v>
      </c>
      <c r="K10">
        <f>0.158987294928/24/3600*1000</f>
        <v>1.8401307283333335E-3</v>
      </c>
      <c r="R10" s="26" t="s">
        <v>83</v>
      </c>
      <c r="S10">
        <v>9.7903800000000007</v>
      </c>
    </row>
    <row r="11" spans="2:19">
      <c r="R11" s="26" t="s">
        <v>86</v>
      </c>
      <c r="S11">
        <v>1333.2</v>
      </c>
    </row>
    <row r="12" spans="2:19">
      <c r="R12" t="s">
        <v>84</v>
      </c>
      <c r="S12">
        <v>133.32</v>
      </c>
    </row>
    <row r="13" spans="2:19">
      <c r="R13" t="s">
        <v>87</v>
      </c>
      <c r="S13">
        <v>100000</v>
      </c>
    </row>
  </sheetData>
  <mergeCells count="9">
    <mergeCell ref="P2:Q2"/>
    <mergeCell ref="R2:S2"/>
    <mergeCell ref="H2:I2"/>
    <mergeCell ref="J2:K2"/>
    <mergeCell ref="B2:C2"/>
    <mergeCell ref="D2:E2"/>
    <mergeCell ref="L2:M2"/>
    <mergeCell ref="N2:O2"/>
    <mergeCell ref="F2:G2"/>
  </mergeCells>
  <conditionalFormatting sqref="A1:XFD1048576">
    <cfRule type="expression" dxfId="1" priority="2">
      <formula>(A1&lt;&gt;"")</formula>
    </cfRule>
  </conditionalFormatting>
  <conditionalFormatting sqref="A2:XFD3">
    <cfRule type="expression" dxfId="0" priority="1">
      <formula>(A2&lt;&gt;"")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B2:C100"/>
  <sheetViews>
    <sheetView showGridLines="0" workbookViewId="0">
      <selection activeCell="K10" sqref="K10"/>
    </sheetView>
  </sheetViews>
  <sheetFormatPr defaultRowHeight="14.4"/>
  <cols>
    <col min="3" max="3" width="11.88671875" style="1" customWidth="1"/>
  </cols>
  <sheetData>
    <row r="2" spans="2:3">
      <c r="B2" s="7" t="s">
        <v>39</v>
      </c>
    </row>
    <row r="3" spans="2:3">
      <c r="B3" s="5"/>
      <c r="C3" s="6"/>
    </row>
    <row r="4" spans="2:3">
      <c r="B4" s="161" t="s">
        <v>36</v>
      </c>
      <c r="C4" s="161"/>
    </row>
    <row r="5" spans="2:3">
      <c r="B5" s="8" t="s">
        <v>37</v>
      </c>
      <c r="C5" s="8" t="s">
        <v>38</v>
      </c>
    </row>
    <row r="6" spans="2:3">
      <c r="B6" s="20">
        <v>0</v>
      </c>
      <c r="C6" s="21">
        <v>1</v>
      </c>
    </row>
    <row r="7" spans="2:3">
      <c r="B7" s="20">
        <f>B6+1</f>
        <v>1</v>
      </c>
      <c r="C7" s="21">
        <f t="shared" ref="C7:C38" si="0">-2*LOG(Rugosidade_relativa/3.71+2.51/Re*C6)</f>
        <v>6.5209185069606512</v>
      </c>
    </row>
    <row r="8" spans="2:3">
      <c r="B8" s="20">
        <f t="shared" ref="B8:B23" si="1">B7+1</f>
        <v>2</v>
      </c>
      <c r="C8" s="21">
        <f t="shared" si="0"/>
        <v>6.4386635725737458</v>
      </c>
    </row>
    <row r="9" spans="2:3">
      <c r="B9" s="20">
        <f t="shared" si="1"/>
        <v>3</v>
      </c>
      <c r="C9" s="21">
        <f t="shared" si="0"/>
        <v>6.4398336203580513</v>
      </c>
    </row>
    <row r="10" spans="2:3">
      <c r="B10" s="20">
        <f t="shared" si="1"/>
        <v>4</v>
      </c>
      <c r="C10" s="21">
        <f t="shared" si="0"/>
        <v>6.439816965780623</v>
      </c>
    </row>
    <row r="11" spans="2:3">
      <c r="B11" s="20">
        <f t="shared" si="1"/>
        <v>5</v>
      </c>
      <c r="C11" s="21">
        <f t="shared" si="0"/>
        <v>6.439817202841307</v>
      </c>
    </row>
    <row r="12" spans="2:3">
      <c r="B12" s="20">
        <f t="shared" si="1"/>
        <v>6</v>
      </c>
      <c r="C12" s="21">
        <f t="shared" si="0"/>
        <v>6.4398171994669928</v>
      </c>
    </row>
    <row r="13" spans="2:3">
      <c r="B13" s="20">
        <f t="shared" si="1"/>
        <v>7</v>
      </c>
      <c r="C13" s="21">
        <f t="shared" si="0"/>
        <v>6.4398171995150228</v>
      </c>
    </row>
    <row r="14" spans="2:3">
      <c r="B14" s="20">
        <f t="shared" si="1"/>
        <v>8</v>
      </c>
      <c r="C14" s="21">
        <f t="shared" si="0"/>
        <v>6.4398171995143398</v>
      </c>
    </row>
    <row r="15" spans="2:3">
      <c r="B15" s="20">
        <f t="shared" si="1"/>
        <v>9</v>
      </c>
      <c r="C15" s="21">
        <f t="shared" si="0"/>
        <v>6.4398171995143487</v>
      </c>
    </row>
    <row r="16" spans="2:3">
      <c r="B16" s="20">
        <f t="shared" si="1"/>
        <v>10</v>
      </c>
      <c r="C16" s="21">
        <f t="shared" si="0"/>
        <v>6.4398171995143487</v>
      </c>
    </row>
    <row r="17" spans="2:3">
      <c r="B17" s="20">
        <f t="shared" si="1"/>
        <v>11</v>
      </c>
      <c r="C17" s="21">
        <f t="shared" si="0"/>
        <v>6.4398171995143487</v>
      </c>
    </row>
    <row r="18" spans="2:3">
      <c r="B18" s="20">
        <f t="shared" si="1"/>
        <v>12</v>
      </c>
      <c r="C18" s="21">
        <f t="shared" si="0"/>
        <v>6.4398171995143487</v>
      </c>
    </row>
    <row r="19" spans="2:3">
      <c r="B19" s="20">
        <f t="shared" si="1"/>
        <v>13</v>
      </c>
      <c r="C19" s="21">
        <f t="shared" si="0"/>
        <v>6.4398171995143487</v>
      </c>
    </row>
    <row r="20" spans="2:3">
      <c r="B20" s="20">
        <f t="shared" si="1"/>
        <v>14</v>
      </c>
      <c r="C20" s="21">
        <f t="shared" si="0"/>
        <v>6.4398171995143487</v>
      </c>
    </row>
    <row r="21" spans="2:3">
      <c r="B21" s="20">
        <f t="shared" si="1"/>
        <v>15</v>
      </c>
      <c r="C21" s="21">
        <f t="shared" si="0"/>
        <v>6.4398171995143487</v>
      </c>
    </row>
    <row r="22" spans="2:3">
      <c r="B22" s="20">
        <f t="shared" si="1"/>
        <v>16</v>
      </c>
      <c r="C22" s="21">
        <f t="shared" si="0"/>
        <v>6.4398171995143487</v>
      </c>
    </row>
    <row r="23" spans="2:3">
      <c r="B23" s="20">
        <f t="shared" si="1"/>
        <v>17</v>
      </c>
      <c r="C23" s="21">
        <f t="shared" si="0"/>
        <v>6.4398171995143487</v>
      </c>
    </row>
    <row r="24" spans="2:3">
      <c r="B24" s="20">
        <f t="shared" ref="B24:B56" si="2">B23+1</f>
        <v>18</v>
      </c>
      <c r="C24" s="21">
        <f t="shared" si="0"/>
        <v>6.4398171995143487</v>
      </c>
    </row>
    <row r="25" spans="2:3">
      <c r="B25" s="20">
        <f t="shared" si="2"/>
        <v>19</v>
      </c>
      <c r="C25" s="21">
        <f t="shared" si="0"/>
        <v>6.4398171995143487</v>
      </c>
    </row>
    <row r="26" spans="2:3">
      <c r="B26" s="20">
        <f t="shared" si="2"/>
        <v>20</v>
      </c>
      <c r="C26" s="21">
        <f t="shared" si="0"/>
        <v>6.4398171995143487</v>
      </c>
    </row>
    <row r="27" spans="2:3">
      <c r="B27" s="20">
        <f t="shared" si="2"/>
        <v>21</v>
      </c>
      <c r="C27" s="21">
        <f t="shared" si="0"/>
        <v>6.4398171995143487</v>
      </c>
    </row>
    <row r="28" spans="2:3">
      <c r="B28" s="20">
        <f t="shared" si="2"/>
        <v>22</v>
      </c>
      <c r="C28" s="21">
        <f t="shared" si="0"/>
        <v>6.4398171995143487</v>
      </c>
    </row>
    <row r="29" spans="2:3">
      <c r="B29" s="20">
        <f t="shared" si="2"/>
        <v>23</v>
      </c>
      <c r="C29" s="21">
        <f t="shared" si="0"/>
        <v>6.4398171995143487</v>
      </c>
    </row>
    <row r="30" spans="2:3">
      <c r="B30" s="20">
        <f t="shared" si="2"/>
        <v>24</v>
      </c>
      <c r="C30" s="21">
        <f t="shared" si="0"/>
        <v>6.4398171995143487</v>
      </c>
    </row>
    <row r="31" spans="2:3">
      <c r="B31" s="20">
        <f t="shared" si="2"/>
        <v>25</v>
      </c>
      <c r="C31" s="21">
        <f t="shared" si="0"/>
        <v>6.4398171995143487</v>
      </c>
    </row>
    <row r="32" spans="2:3">
      <c r="B32" s="20">
        <f t="shared" si="2"/>
        <v>26</v>
      </c>
      <c r="C32" s="21">
        <f t="shared" si="0"/>
        <v>6.4398171995143487</v>
      </c>
    </row>
    <row r="33" spans="2:3">
      <c r="B33" s="20">
        <f t="shared" si="2"/>
        <v>27</v>
      </c>
      <c r="C33" s="21">
        <f t="shared" si="0"/>
        <v>6.4398171995143487</v>
      </c>
    </row>
    <row r="34" spans="2:3">
      <c r="B34" s="20">
        <f t="shared" si="2"/>
        <v>28</v>
      </c>
      <c r="C34" s="21">
        <f t="shared" si="0"/>
        <v>6.4398171995143487</v>
      </c>
    </row>
    <row r="35" spans="2:3">
      <c r="B35" s="20">
        <f t="shared" si="2"/>
        <v>29</v>
      </c>
      <c r="C35" s="21">
        <f t="shared" si="0"/>
        <v>6.4398171995143487</v>
      </c>
    </row>
    <row r="36" spans="2:3">
      <c r="B36" s="20">
        <f t="shared" si="2"/>
        <v>30</v>
      </c>
      <c r="C36" s="21">
        <f t="shared" si="0"/>
        <v>6.4398171995143487</v>
      </c>
    </row>
    <row r="37" spans="2:3">
      <c r="B37" s="20">
        <f t="shared" si="2"/>
        <v>31</v>
      </c>
      <c r="C37" s="21">
        <f t="shared" si="0"/>
        <v>6.4398171995143487</v>
      </c>
    </row>
    <row r="38" spans="2:3">
      <c r="B38" s="20">
        <f t="shared" si="2"/>
        <v>32</v>
      </c>
      <c r="C38" s="21">
        <f t="shared" si="0"/>
        <v>6.4398171995143487</v>
      </c>
    </row>
    <row r="39" spans="2:3">
      <c r="B39" s="20">
        <f t="shared" si="2"/>
        <v>33</v>
      </c>
      <c r="C39" s="21">
        <f t="shared" ref="C39:C56" si="3">-2*LOG(Rugosidade_relativa/3.71+2.51/Re*C38)</f>
        <v>6.4398171995143487</v>
      </c>
    </row>
    <row r="40" spans="2:3">
      <c r="B40" s="20">
        <f t="shared" si="2"/>
        <v>34</v>
      </c>
      <c r="C40" s="21">
        <f t="shared" si="3"/>
        <v>6.4398171995143487</v>
      </c>
    </row>
    <row r="41" spans="2:3">
      <c r="B41" s="20">
        <f t="shared" si="2"/>
        <v>35</v>
      </c>
      <c r="C41" s="21">
        <f t="shared" si="3"/>
        <v>6.4398171995143487</v>
      </c>
    </row>
    <row r="42" spans="2:3">
      <c r="B42" s="20">
        <f t="shared" si="2"/>
        <v>36</v>
      </c>
      <c r="C42" s="21">
        <f t="shared" si="3"/>
        <v>6.4398171995143487</v>
      </c>
    </row>
    <row r="43" spans="2:3">
      <c r="B43" s="20">
        <f t="shared" si="2"/>
        <v>37</v>
      </c>
      <c r="C43" s="21">
        <f t="shared" si="3"/>
        <v>6.4398171995143487</v>
      </c>
    </row>
    <row r="44" spans="2:3">
      <c r="B44" s="20">
        <f t="shared" si="2"/>
        <v>38</v>
      </c>
      <c r="C44" s="21">
        <f t="shared" si="3"/>
        <v>6.4398171995143487</v>
      </c>
    </row>
    <row r="45" spans="2:3">
      <c r="B45" s="20">
        <f t="shared" si="2"/>
        <v>39</v>
      </c>
      <c r="C45" s="21">
        <f t="shared" si="3"/>
        <v>6.4398171995143487</v>
      </c>
    </row>
    <row r="46" spans="2:3">
      <c r="B46" s="20">
        <f t="shared" si="2"/>
        <v>40</v>
      </c>
      <c r="C46" s="21">
        <f t="shared" si="3"/>
        <v>6.4398171995143487</v>
      </c>
    </row>
    <row r="47" spans="2:3">
      <c r="B47" s="20">
        <f t="shared" si="2"/>
        <v>41</v>
      </c>
      <c r="C47" s="21">
        <f t="shared" si="3"/>
        <v>6.4398171995143487</v>
      </c>
    </row>
    <row r="48" spans="2:3">
      <c r="B48" s="20">
        <f t="shared" si="2"/>
        <v>42</v>
      </c>
      <c r="C48" s="21">
        <f t="shared" si="3"/>
        <v>6.4398171995143487</v>
      </c>
    </row>
    <row r="49" spans="2:3">
      <c r="B49" s="20">
        <f t="shared" si="2"/>
        <v>43</v>
      </c>
      <c r="C49" s="21">
        <f t="shared" si="3"/>
        <v>6.4398171995143487</v>
      </c>
    </row>
    <row r="50" spans="2:3">
      <c r="B50" s="20">
        <f t="shared" si="2"/>
        <v>44</v>
      </c>
      <c r="C50" s="21">
        <f t="shared" si="3"/>
        <v>6.4398171995143487</v>
      </c>
    </row>
    <row r="51" spans="2:3">
      <c r="B51" s="20">
        <f t="shared" si="2"/>
        <v>45</v>
      </c>
      <c r="C51" s="21">
        <f t="shared" si="3"/>
        <v>6.4398171995143487</v>
      </c>
    </row>
    <row r="52" spans="2:3">
      <c r="B52" s="20">
        <f t="shared" si="2"/>
        <v>46</v>
      </c>
      <c r="C52" s="21">
        <f t="shared" si="3"/>
        <v>6.4398171995143487</v>
      </c>
    </row>
    <row r="53" spans="2:3">
      <c r="B53" s="20">
        <f t="shared" si="2"/>
        <v>47</v>
      </c>
      <c r="C53" s="21">
        <f t="shared" si="3"/>
        <v>6.4398171995143487</v>
      </c>
    </row>
    <row r="54" spans="2:3">
      <c r="B54" s="20">
        <f t="shared" si="2"/>
        <v>48</v>
      </c>
      <c r="C54" s="21">
        <f t="shared" si="3"/>
        <v>6.4398171995143487</v>
      </c>
    </row>
    <row r="55" spans="2:3">
      <c r="B55" s="20">
        <f t="shared" si="2"/>
        <v>49</v>
      </c>
      <c r="C55" s="21">
        <f t="shared" si="3"/>
        <v>6.4398171995143487</v>
      </c>
    </row>
    <row r="56" spans="2:3">
      <c r="B56" s="20">
        <f t="shared" si="2"/>
        <v>50</v>
      </c>
      <c r="C56" s="21">
        <f t="shared" si="3"/>
        <v>6.4398171995143487</v>
      </c>
    </row>
    <row r="57" spans="2:3">
      <c r="B57" s="1"/>
      <c r="C57" s="4"/>
    </row>
    <row r="58" spans="2:3">
      <c r="B58" s="1"/>
      <c r="C58" s="4"/>
    </row>
    <row r="59" spans="2:3">
      <c r="B59" s="1"/>
      <c r="C59" s="4"/>
    </row>
    <row r="60" spans="2:3">
      <c r="B60" s="1"/>
      <c r="C60" s="4"/>
    </row>
    <row r="61" spans="2:3">
      <c r="B61" s="1"/>
      <c r="C61" s="4"/>
    </row>
    <row r="62" spans="2:3">
      <c r="B62" s="1"/>
      <c r="C62" s="4"/>
    </row>
    <row r="63" spans="2:3">
      <c r="B63" s="1"/>
      <c r="C63" s="4"/>
    </row>
    <row r="64" spans="2:3">
      <c r="B64" s="1"/>
      <c r="C64" s="4"/>
    </row>
    <row r="65" spans="2:3">
      <c r="B65" s="1"/>
      <c r="C65" s="4"/>
    </row>
    <row r="66" spans="2:3">
      <c r="B66" s="1"/>
      <c r="C66" s="4"/>
    </row>
    <row r="67" spans="2:3">
      <c r="B67" s="1"/>
      <c r="C67" s="4"/>
    </row>
    <row r="68" spans="2:3">
      <c r="B68" s="1"/>
      <c r="C68" s="4"/>
    </row>
    <row r="69" spans="2:3">
      <c r="B69" s="1"/>
      <c r="C69" s="4"/>
    </row>
    <row r="70" spans="2:3">
      <c r="B70" s="1"/>
      <c r="C70" s="4"/>
    </row>
    <row r="71" spans="2:3">
      <c r="B71" s="1"/>
      <c r="C71" s="4"/>
    </row>
    <row r="72" spans="2:3">
      <c r="B72" s="1"/>
      <c r="C72" s="4"/>
    </row>
    <row r="73" spans="2:3">
      <c r="B73" s="1"/>
      <c r="C73" s="4"/>
    </row>
    <row r="74" spans="2:3">
      <c r="B74" s="1"/>
      <c r="C74" s="4"/>
    </row>
    <row r="75" spans="2:3">
      <c r="B75" s="1"/>
      <c r="C75" s="4"/>
    </row>
    <row r="76" spans="2:3">
      <c r="B76" s="1"/>
      <c r="C76" s="4"/>
    </row>
    <row r="77" spans="2:3">
      <c r="B77" s="1"/>
      <c r="C77" s="4"/>
    </row>
    <row r="78" spans="2:3">
      <c r="B78" s="1"/>
      <c r="C78" s="4"/>
    </row>
    <row r="79" spans="2:3">
      <c r="B79" s="1"/>
      <c r="C79" s="4"/>
    </row>
    <row r="80" spans="2:3">
      <c r="B80" s="1"/>
      <c r="C80" s="4"/>
    </row>
    <row r="81" spans="2:3">
      <c r="B81" s="1"/>
      <c r="C81" s="4"/>
    </row>
    <row r="82" spans="2:3">
      <c r="B82" s="1"/>
      <c r="C82" s="4"/>
    </row>
    <row r="83" spans="2:3">
      <c r="B83" s="1"/>
      <c r="C83" s="4"/>
    </row>
    <row r="84" spans="2:3">
      <c r="B84" s="1"/>
      <c r="C84" s="4"/>
    </row>
    <row r="85" spans="2:3">
      <c r="B85" s="1"/>
      <c r="C85" s="4"/>
    </row>
    <row r="86" spans="2:3">
      <c r="B86" s="1"/>
      <c r="C86" s="4"/>
    </row>
    <row r="87" spans="2:3">
      <c r="B87" s="1"/>
      <c r="C87" s="4"/>
    </row>
    <row r="88" spans="2:3">
      <c r="B88" s="1"/>
      <c r="C88" s="4"/>
    </row>
    <row r="89" spans="2:3">
      <c r="B89" s="1"/>
      <c r="C89" s="4"/>
    </row>
    <row r="90" spans="2:3">
      <c r="B90" s="1"/>
      <c r="C90" s="4"/>
    </row>
    <row r="91" spans="2:3">
      <c r="B91" s="1"/>
      <c r="C91" s="4"/>
    </row>
    <row r="92" spans="2:3">
      <c r="B92" s="1"/>
      <c r="C92" s="4"/>
    </row>
    <row r="93" spans="2:3">
      <c r="B93" s="1"/>
      <c r="C93" s="4"/>
    </row>
    <row r="94" spans="2:3">
      <c r="B94" s="1"/>
      <c r="C94" s="4"/>
    </row>
    <row r="95" spans="2:3">
      <c r="B95" s="1"/>
      <c r="C95" s="4"/>
    </row>
    <row r="96" spans="2:3">
      <c r="B96" s="1"/>
      <c r="C96" s="4"/>
    </row>
    <row r="97" spans="2:3">
      <c r="B97" s="1"/>
      <c r="C97" s="4"/>
    </row>
    <row r="98" spans="2:3">
      <c r="B98" s="1"/>
      <c r="C98" s="4"/>
    </row>
    <row r="99" spans="2:3">
      <c r="B99" s="1"/>
      <c r="C99" s="4"/>
    </row>
    <row r="100" spans="2:3">
      <c r="B100" s="1"/>
      <c r="C100" s="4"/>
    </row>
  </sheetData>
  <mergeCells count="1">
    <mergeCell ref="B4:C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B2:C100"/>
  <sheetViews>
    <sheetView showGridLines="0" workbookViewId="0">
      <selection activeCell="K10" sqref="K10"/>
    </sheetView>
  </sheetViews>
  <sheetFormatPr defaultRowHeight="14.4"/>
  <cols>
    <col min="3" max="3" width="11.88671875" style="1" customWidth="1"/>
  </cols>
  <sheetData>
    <row r="2" spans="2:3">
      <c r="B2" s="7" t="s">
        <v>168</v>
      </c>
    </row>
    <row r="3" spans="2:3">
      <c r="B3" s="5"/>
      <c r="C3" s="6"/>
    </row>
    <row r="4" spans="2:3">
      <c r="B4" s="161" t="s">
        <v>36</v>
      </c>
      <c r="C4" s="161"/>
    </row>
    <row r="5" spans="2:3">
      <c r="B5" s="8" t="s">
        <v>37</v>
      </c>
      <c r="C5" s="8" t="s">
        <v>38</v>
      </c>
    </row>
    <row r="6" spans="2:3">
      <c r="B6" s="20">
        <v>0</v>
      </c>
      <c r="C6" s="21">
        <v>1</v>
      </c>
    </row>
    <row r="7" spans="2:3">
      <c r="B7" s="20">
        <f>B6+1</f>
        <v>1</v>
      </c>
      <c r="C7" s="21">
        <f t="shared" ref="C7:C38" si="0">-2*LOG(1/Re*C6)-0.8</f>
        <v>10.010141311170361</v>
      </c>
    </row>
    <row r="8" spans="2:3">
      <c r="B8" s="20">
        <f t="shared" ref="B8:B56" si="1">B7+1</f>
        <v>2</v>
      </c>
      <c r="C8" s="21">
        <f t="shared" si="0"/>
        <v>8.0092608944278396</v>
      </c>
    </row>
    <row r="9" spans="2:3">
      <c r="B9" s="20">
        <f t="shared" si="1"/>
        <v>3</v>
      </c>
      <c r="C9" s="21">
        <f t="shared" si="0"/>
        <v>8.2029564298837219</v>
      </c>
    </row>
    <row r="10" spans="2:3">
      <c r="B10" s="20">
        <f t="shared" si="1"/>
        <v>4</v>
      </c>
      <c r="C10" s="21">
        <f t="shared" si="0"/>
        <v>8.1822005015784338</v>
      </c>
    </row>
    <row r="11" spans="2:3">
      <c r="B11" s="20">
        <f t="shared" si="1"/>
        <v>5</v>
      </c>
      <c r="C11" s="21">
        <f t="shared" si="0"/>
        <v>8.1844010761567656</v>
      </c>
    </row>
    <row r="12" spans="2:3">
      <c r="B12" s="20">
        <f t="shared" si="1"/>
        <v>6</v>
      </c>
      <c r="C12" s="21">
        <f t="shared" si="0"/>
        <v>8.1841675035613548</v>
      </c>
    </row>
    <row r="13" spans="2:3">
      <c r="B13" s="20">
        <f t="shared" si="1"/>
        <v>7</v>
      </c>
      <c r="C13" s="21">
        <f t="shared" si="0"/>
        <v>8.1841922923604056</v>
      </c>
    </row>
    <row r="14" spans="2:3">
      <c r="B14" s="20">
        <f t="shared" si="1"/>
        <v>8</v>
      </c>
      <c r="C14" s="21">
        <f t="shared" si="0"/>
        <v>8.1841896615192518</v>
      </c>
    </row>
    <row r="15" spans="2:3">
      <c r="B15" s="20">
        <f t="shared" si="1"/>
        <v>9</v>
      </c>
      <c r="C15" s="21">
        <f t="shared" si="0"/>
        <v>8.1841899407306737</v>
      </c>
    </row>
    <row r="16" spans="2:3">
      <c r="B16" s="20">
        <f t="shared" si="1"/>
        <v>10</v>
      </c>
      <c r="C16" s="21">
        <f t="shared" si="0"/>
        <v>8.1841899110979348</v>
      </c>
    </row>
    <row r="17" spans="2:3">
      <c r="B17" s="20">
        <f t="shared" si="1"/>
        <v>11</v>
      </c>
      <c r="C17" s="21">
        <f t="shared" si="0"/>
        <v>8.1841899142428591</v>
      </c>
    </row>
    <row r="18" spans="2:3">
      <c r="B18" s="20">
        <f t="shared" si="1"/>
        <v>12</v>
      </c>
      <c r="C18" s="21">
        <f t="shared" si="0"/>
        <v>8.1841899139090888</v>
      </c>
    </row>
    <row r="19" spans="2:3">
      <c r="B19" s="20">
        <f t="shared" si="1"/>
        <v>13</v>
      </c>
      <c r="C19" s="21">
        <f t="shared" si="0"/>
        <v>8.1841899139445111</v>
      </c>
    </row>
    <row r="20" spans="2:3">
      <c r="B20" s="20">
        <f t="shared" si="1"/>
        <v>14</v>
      </c>
      <c r="C20" s="21">
        <f t="shared" si="0"/>
        <v>8.1841899139407523</v>
      </c>
    </row>
    <row r="21" spans="2:3">
      <c r="B21" s="20">
        <f t="shared" si="1"/>
        <v>15</v>
      </c>
      <c r="C21" s="21">
        <f t="shared" si="0"/>
        <v>8.184189913941152</v>
      </c>
    </row>
    <row r="22" spans="2:3">
      <c r="B22" s="20">
        <f t="shared" si="1"/>
        <v>16</v>
      </c>
      <c r="C22" s="21">
        <f t="shared" si="0"/>
        <v>8.1841899139411094</v>
      </c>
    </row>
    <row r="23" spans="2:3">
      <c r="B23" s="20">
        <f t="shared" si="1"/>
        <v>17</v>
      </c>
      <c r="C23" s="21">
        <f t="shared" si="0"/>
        <v>8.1841899139411129</v>
      </c>
    </row>
    <row r="24" spans="2:3">
      <c r="B24" s="20">
        <f t="shared" si="1"/>
        <v>18</v>
      </c>
      <c r="C24" s="21">
        <f t="shared" si="0"/>
        <v>8.1841899139411129</v>
      </c>
    </row>
    <row r="25" spans="2:3">
      <c r="B25" s="20">
        <f t="shared" si="1"/>
        <v>19</v>
      </c>
      <c r="C25" s="21">
        <f t="shared" si="0"/>
        <v>8.1841899139411129</v>
      </c>
    </row>
    <row r="26" spans="2:3">
      <c r="B26" s="20">
        <f t="shared" si="1"/>
        <v>20</v>
      </c>
      <c r="C26" s="21">
        <f t="shared" si="0"/>
        <v>8.1841899139411129</v>
      </c>
    </row>
    <row r="27" spans="2:3">
      <c r="B27" s="20">
        <f t="shared" si="1"/>
        <v>21</v>
      </c>
      <c r="C27" s="21">
        <f t="shared" si="0"/>
        <v>8.1841899139411129</v>
      </c>
    </row>
    <row r="28" spans="2:3">
      <c r="B28" s="20">
        <f t="shared" si="1"/>
        <v>22</v>
      </c>
      <c r="C28" s="21">
        <f t="shared" si="0"/>
        <v>8.1841899139411129</v>
      </c>
    </row>
    <row r="29" spans="2:3">
      <c r="B29" s="20">
        <f t="shared" si="1"/>
        <v>23</v>
      </c>
      <c r="C29" s="21">
        <f t="shared" si="0"/>
        <v>8.1841899139411129</v>
      </c>
    </row>
    <row r="30" spans="2:3">
      <c r="B30" s="20">
        <f t="shared" si="1"/>
        <v>24</v>
      </c>
      <c r="C30" s="21">
        <f t="shared" si="0"/>
        <v>8.1841899139411129</v>
      </c>
    </row>
    <row r="31" spans="2:3">
      <c r="B31" s="20">
        <f t="shared" si="1"/>
        <v>25</v>
      </c>
      <c r="C31" s="21">
        <f t="shared" si="0"/>
        <v>8.1841899139411129</v>
      </c>
    </row>
    <row r="32" spans="2:3">
      <c r="B32" s="20">
        <f t="shared" si="1"/>
        <v>26</v>
      </c>
      <c r="C32" s="21">
        <f t="shared" si="0"/>
        <v>8.1841899139411129</v>
      </c>
    </row>
    <row r="33" spans="2:3">
      <c r="B33" s="20">
        <f t="shared" si="1"/>
        <v>27</v>
      </c>
      <c r="C33" s="21">
        <f t="shared" si="0"/>
        <v>8.1841899139411129</v>
      </c>
    </row>
    <row r="34" spans="2:3">
      <c r="B34" s="20">
        <f t="shared" si="1"/>
        <v>28</v>
      </c>
      <c r="C34" s="21">
        <f t="shared" si="0"/>
        <v>8.1841899139411129</v>
      </c>
    </row>
    <row r="35" spans="2:3">
      <c r="B35" s="20">
        <f t="shared" si="1"/>
        <v>29</v>
      </c>
      <c r="C35" s="21">
        <f t="shared" si="0"/>
        <v>8.1841899139411129</v>
      </c>
    </row>
    <row r="36" spans="2:3">
      <c r="B36" s="20">
        <f t="shared" si="1"/>
        <v>30</v>
      </c>
      <c r="C36" s="21">
        <f t="shared" si="0"/>
        <v>8.1841899139411129</v>
      </c>
    </row>
    <row r="37" spans="2:3">
      <c r="B37" s="20">
        <f t="shared" si="1"/>
        <v>31</v>
      </c>
      <c r="C37" s="21">
        <f t="shared" si="0"/>
        <v>8.1841899139411129</v>
      </c>
    </row>
    <row r="38" spans="2:3">
      <c r="B38" s="20">
        <f t="shared" si="1"/>
        <v>32</v>
      </c>
      <c r="C38" s="21">
        <f t="shared" si="0"/>
        <v>8.1841899139411129</v>
      </c>
    </row>
    <row r="39" spans="2:3">
      <c r="B39" s="20">
        <f t="shared" si="1"/>
        <v>33</v>
      </c>
      <c r="C39" s="21">
        <f t="shared" ref="C39:C56" si="2">-2*LOG(1/Re*C38)-0.8</f>
        <v>8.1841899139411129</v>
      </c>
    </row>
    <row r="40" spans="2:3">
      <c r="B40" s="20">
        <f t="shared" si="1"/>
        <v>34</v>
      </c>
      <c r="C40" s="21">
        <f t="shared" si="2"/>
        <v>8.1841899139411129</v>
      </c>
    </row>
    <row r="41" spans="2:3">
      <c r="B41" s="20">
        <f t="shared" si="1"/>
        <v>35</v>
      </c>
      <c r="C41" s="21">
        <f t="shared" si="2"/>
        <v>8.1841899139411129</v>
      </c>
    </row>
    <row r="42" spans="2:3">
      <c r="B42" s="20">
        <f t="shared" si="1"/>
        <v>36</v>
      </c>
      <c r="C42" s="21">
        <f t="shared" si="2"/>
        <v>8.1841899139411129</v>
      </c>
    </row>
    <row r="43" spans="2:3">
      <c r="B43" s="20">
        <f t="shared" si="1"/>
        <v>37</v>
      </c>
      <c r="C43" s="21">
        <f t="shared" si="2"/>
        <v>8.1841899139411129</v>
      </c>
    </row>
    <row r="44" spans="2:3">
      <c r="B44" s="20">
        <f t="shared" si="1"/>
        <v>38</v>
      </c>
      <c r="C44" s="21">
        <f t="shared" si="2"/>
        <v>8.1841899139411129</v>
      </c>
    </row>
    <row r="45" spans="2:3">
      <c r="B45" s="20">
        <f t="shared" si="1"/>
        <v>39</v>
      </c>
      <c r="C45" s="21">
        <f t="shared" si="2"/>
        <v>8.1841899139411129</v>
      </c>
    </row>
    <row r="46" spans="2:3">
      <c r="B46" s="20">
        <f t="shared" si="1"/>
        <v>40</v>
      </c>
      <c r="C46" s="21">
        <f t="shared" si="2"/>
        <v>8.1841899139411129</v>
      </c>
    </row>
    <row r="47" spans="2:3">
      <c r="B47" s="20">
        <f t="shared" si="1"/>
        <v>41</v>
      </c>
      <c r="C47" s="21">
        <f t="shared" si="2"/>
        <v>8.1841899139411129</v>
      </c>
    </row>
    <row r="48" spans="2:3">
      <c r="B48" s="20">
        <f t="shared" si="1"/>
        <v>42</v>
      </c>
      <c r="C48" s="21">
        <f t="shared" si="2"/>
        <v>8.1841899139411129</v>
      </c>
    </row>
    <row r="49" spans="2:3">
      <c r="B49" s="20">
        <f t="shared" si="1"/>
        <v>43</v>
      </c>
      <c r="C49" s="21">
        <f t="shared" si="2"/>
        <v>8.1841899139411129</v>
      </c>
    </row>
    <row r="50" spans="2:3">
      <c r="B50" s="20">
        <f t="shared" si="1"/>
        <v>44</v>
      </c>
      <c r="C50" s="21">
        <f t="shared" si="2"/>
        <v>8.1841899139411129</v>
      </c>
    </row>
    <row r="51" spans="2:3">
      <c r="B51" s="20">
        <f t="shared" si="1"/>
        <v>45</v>
      </c>
      <c r="C51" s="21">
        <f t="shared" si="2"/>
        <v>8.1841899139411129</v>
      </c>
    </row>
    <row r="52" spans="2:3">
      <c r="B52" s="20">
        <f t="shared" si="1"/>
        <v>46</v>
      </c>
      <c r="C52" s="21">
        <f t="shared" si="2"/>
        <v>8.1841899139411129</v>
      </c>
    </row>
    <row r="53" spans="2:3">
      <c r="B53" s="20">
        <f t="shared" si="1"/>
        <v>47</v>
      </c>
      <c r="C53" s="21">
        <f t="shared" si="2"/>
        <v>8.1841899139411129</v>
      </c>
    </row>
    <row r="54" spans="2:3">
      <c r="B54" s="20">
        <f t="shared" si="1"/>
        <v>48</v>
      </c>
      <c r="C54" s="21">
        <f t="shared" si="2"/>
        <v>8.1841899139411129</v>
      </c>
    </row>
    <row r="55" spans="2:3">
      <c r="B55" s="20">
        <f t="shared" si="1"/>
        <v>49</v>
      </c>
      <c r="C55" s="21">
        <f t="shared" si="2"/>
        <v>8.1841899139411129</v>
      </c>
    </row>
    <row r="56" spans="2:3">
      <c r="B56" s="20">
        <f t="shared" si="1"/>
        <v>50</v>
      </c>
      <c r="C56" s="21">
        <f t="shared" si="2"/>
        <v>8.1841899139411129</v>
      </c>
    </row>
    <row r="57" spans="2:3">
      <c r="B57" s="1"/>
      <c r="C57" s="4"/>
    </row>
    <row r="58" spans="2:3">
      <c r="B58" s="1"/>
      <c r="C58" s="4"/>
    </row>
    <row r="59" spans="2:3">
      <c r="B59" s="1"/>
      <c r="C59" s="4"/>
    </row>
    <row r="60" spans="2:3">
      <c r="B60" s="1"/>
      <c r="C60" s="4"/>
    </row>
    <row r="61" spans="2:3">
      <c r="B61" s="1"/>
      <c r="C61" s="4"/>
    </row>
    <row r="62" spans="2:3">
      <c r="B62" s="1"/>
      <c r="C62" s="4"/>
    </row>
    <row r="63" spans="2:3">
      <c r="B63" s="1"/>
      <c r="C63" s="4"/>
    </row>
    <row r="64" spans="2:3">
      <c r="B64" s="1"/>
      <c r="C64" s="4"/>
    </row>
    <row r="65" spans="2:3">
      <c r="B65" s="1"/>
      <c r="C65" s="4"/>
    </row>
    <row r="66" spans="2:3">
      <c r="B66" s="1"/>
      <c r="C66" s="4"/>
    </row>
    <row r="67" spans="2:3">
      <c r="B67" s="1"/>
      <c r="C67" s="4"/>
    </row>
    <row r="68" spans="2:3">
      <c r="B68" s="1"/>
      <c r="C68" s="4"/>
    </row>
    <row r="69" spans="2:3">
      <c r="B69" s="1"/>
      <c r="C69" s="4"/>
    </row>
    <row r="70" spans="2:3">
      <c r="B70" s="1"/>
      <c r="C70" s="4"/>
    </row>
    <row r="71" spans="2:3">
      <c r="B71" s="1"/>
      <c r="C71" s="4"/>
    </row>
    <row r="72" spans="2:3">
      <c r="B72" s="1"/>
      <c r="C72" s="4"/>
    </row>
    <row r="73" spans="2:3">
      <c r="B73" s="1"/>
      <c r="C73" s="4"/>
    </row>
    <row r="74" spans="2:3">
      <c r="B74" s="1"/>
      <c r="C74" s="4"/>
    </row>
    <row r="75" spans="2:3">
      <c r="B75" s="1"/>
      <c r="C75" s="4"/>
    </row>
    <row r="76" spans="2:3">
      <c r="B76" s="1"/>
      <c r="C76" s="4"/>
    </row>
    <row r="77" spans="2:3">
      <c r="B77" s="1"/>
      <c r="C77" s="4"/>
    </row>
    <row r="78" spans="2:3">
      <c r="B78" s="1"/>
      <c r="C78" s="4"/>
    </row>
    <row r="79" spans="2:3">
      <c r="B79" s="1"/>
      <c r="C79" s="4"/>
    </row>
    <row r="80" spans="2:3">
      <c r="B80" s="1"/>
      <c r="C80" s="4"/>
    </row>
    <row r="81" spans="2:3">
      <c r="B81" s="1"/>
      <c r="C81" s="4"/>
    </row>
    <row r="82" spans="2:3">
      <c r="B82" s="1"/>
      <c r="C82" s="4"/>
    </row>
    <row r="83" spans="2:3">
      <c r="B83" s="1"/>
      <c r="C83" s="4"/>
    </row>
    <row r="84" spans="2:3">
      <c r="B84" s="1"/>
      <c r="C84" s="4"/>
    </row>
    <row r="85" spans="2:3">
      <c r="B85" s="1"/>
      <c r="C85" s="4"/>
    </row>
    <row r="86" spans="2:3">
      <c r="B86" s="1"/>
      <c r="C86" s="4"/>
    </row>
    <row r="87" spans="2:3">
      <c r="B87" s="1"/>
      <c r="C87" s="4"/>
    </row>
    <row r="88" spans="2:3">
      <c r="B88" s="1"/>
      <c r="C88" s="4"/>
    </row>
    <row r="89" spans="2:3">
      <c r="B89" s="1"/>
      <c r="C89" s="4"/>
    </row>
    <row r="90" spans="2:3">
      <c r="B90" s="1"/>
      <c r="C90" s="4"/>
    </row>
    <row r="91" spans="2:3">
      <c r="B91" s="1"/>
      <c r="C91" s="4"/>
    </row>
    <row r="92" spans="2:3">
      <c r="B92" s="1"/>
      <c r="C92" s="4"/>
    </row>
    <row r="93" spans="2:3">
      <c r="B93" s="1"/>
      <c r="C93" s="4"/>
    </row>
    <row r="94" spans="2:3">
      <c r="B94" s="1"/>
      <c r="C94" s="4"/>
    </row>
    <row r="95" spans="2:3">
      <c r="B95" s="1"/>
      <c r="C95" s="4"/>
    </row>
    <row r="96" spans="2:3">
      <c r="B96" s="1"/>
      <c r="C96" s="4"/>
    </row>
    <row r="97" spans="2:3">
      <c r="B97" s="1"/>
      <c r="C97" s="4"/>
    </row>
    <row r="98" spans="2:3">
      <c r="B98" s="1"/>
      <c r="C98" s="4"/>
    </row>
    <row r="99" spans="2:3">
      <c r="B99" s="1"/>
      <c r="C99" s="4"/>
    </row>
    <row r="100" spans="2:3">
      <c r="B100" s="1"/>
      <c r="C100" s="4"/>
    </row>
  </sheetData>
  <mergeCells count="1">
    <mergeCell ref="B4:C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11</vt:i4>
      </vt:variant>
    </vt:vector>
  </HeadingPairs>
  <TitlesOfParts>
    <vt:vector size="18" baseType="lpstr">
      <vt:lpstr>Perda_de_Carga</vt:lpstr>
      <vt:lpstr>Calculo</vt:lpstr>
      <vt:lpstr>Opcoes_perda-de-carga</vt:lpstr>
      <vt:lpstr>Formulário</vt:lpstr>
      <vt:lpstr>Unidades</vt:lpstr>
      <vt:lpstr>Colebrook-White</vt:lpstr>
      <vt:lpstr>Prandtl</vt:lpstr>
      <vt:lpstr>A</vt:lpstr>
      <vt:lpstr>C_HW</vt:lpstr>
      <vt:lpstr>Di</vt:lpstr>
      <vt:lpstr>L_tub</vt:lpstr>
      <vt:lpstr>Massa_Especifica</vt:lpstr>
      <vt:lpstr>Q</vt:lpstr>
      <vt:lpstr>Re</vt:lpstr>
      <vt:lpstr>Rugosidade_absoluta</vt:lpstr>
      <vt:lpstr>Rugosidade_relativa</vt:lpstr>
      <vt:lpstr>V</vt:lpstr>
      <vt:lpstr>Viscosidade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Hidrouff</dc:creator>
  <cp:lastModifiedBy>Gabriel</cp:lastModifiedBy>
  <dcterms:created xsi:type="dcterms:W3CDTF">2013-05-22T23:22:15Z</dcterms:created>
  <dcterms:modified xsi:type="dcterms:W3CDTF">2020-10-10T01:20:42Z</dcterms:modified>
</cp:coreProperties>
</file>