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G:\Meu Drive\Google Drive\HidroUFF\SITE HIDROUFF\PLANILHAS\BLOCOS ALTERNADOS\"/>
    </mc:Choice>
  </mc:AlternateContent>
  <xr:revisionPtr revIDLastSave="0" documentId="13_ncr:1_{DECE2A9C-6BAD-4F62-A7B6-8BB20C733EE1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BLOCOS ALTERNADOS" sheetId="2" r:id="rId1"/>
    <sheet name="REFERENCIAL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6" i="2" l="1"/>
  <c r="E18" i="2"/>
  <c r="E19" i="2" s="1"/>
  <c r="D89" i="2"/>
  <c r="R37" i="2"/>
  <c r="F37" i="2"/>
  <c r="C37" i="2"/>
  <c r="E22" i="2"/>
  <c r="E27" i="2" s="1"/>
  <c r="P37" i="2" l="1"/>
  <c r="E24" i="2"/>
  <c r="D38" i="2"/>
  <c r="E23" i="2"/>
  <c r="C38" i="2" l="1"/>
  <c r="F38" i="2"/>
  <c r="D39" i="2"/>
  <c r="E38" i="2"/>
  <c r="G38" i="2" l="1"/>
  <c r="P38" i="2" s="1"/>
  <c r="C39" i="2"/>
  <c r="F39" i="2"/>
  <c r="D40" i="2"/>
  <c r="E39" i="2"/>
  <c r="H38" i="2" l="1"/>
  <c r="I38" i="2" s="1"/>
  <c r="Q38" i="2"/>
  <c r="G39" i="2"/>
  <c r="C40" i="2"/>
  <c r="F40" i="2"/>
  <c r="D41" i="2"/>
  <c r="E40" i="2"/>
  <c r="R38" i="2" l="1"/>
  <c r="S38" i="2" s="1"/>
  <c r="G40" i="2"/>
  <c r="P40" i="2" s="1"/>
  <c r="D42" i="2"/>
  <c r="F42" i="2" s="1"/>
  <c r="C41" i="2"/>
  <c r="F41" i="2"/>
  <c r="E41" i="2"/>
  <c r="H39" i="2"/>
  <c r="P39" i="2"/>
  <c r="H40" i="2" l="1"/>
  <c r="I40" i="2" s="1"/>
  <c r="G41" i="2"/>
  <c r="H41" i="2" s="1"/>
  <c r="Q39" i="2"/>
  <c r="I39" i="2"/>
  <c r="Q40" i="2"/>
  <c r="D43" i="2"/>
  <c r="C42" i="2"/>
  <c r="E42" i="2"/>
  <c r="R39" i="2" l="1"/>
  <c r="S39" i="2" s="1"/>
  <c r="R40" i="2"/>
  <c r="S40" i="2" s="1"/>
  <c r="P41" i="2"/>
  <c r="I41" i="2"/>
  <c r="D44" i="2"/>
  <c r="C43" i="2"/>
  <c r="F43" i="2"/>
  <c r="E43" i="2"/>
  <c r="G42" i="2"/>
  <c r="Q41" i="2" l="1"/>
  <c r="G43" i="2"/>
  <c r="H43" i="2" s="1"/>
  <c r="C44" i="2"/>
  <c r="F44" i="2"/>
  <c r="D45" i="2"/>
  <c r="E44" i="2"/>
  <c r="H42" i="2"/>
  <c r="P42" i="2"/>
  <c r="R41" i="2" l="1"/>
  <c r="S41" i="2" s="1"/>
  <c r="G44" i="2"/>
  <c r="H44" i="2" s="1"/>
  <c r="P43" i="2"/>
  <c r="Q43" i="2" s="1"/>
  <c r="R43" i="2" s="1"/>
  <c r="S43" i="2" s="1"/>
  <c r="Q42" i="2"/>
  <c r="R42" i="2" s="1"/>
  <c r="S42" i="2" s="1"/>
  <c r="I42" i="2"/>
  <c r="D46" i="2"/>
  <c r="C45" i="2"/>
  <c r="F45" i="2"/>
  <c r="E45" i="2"/>
  <c r="I43" i="2"/>
  <c r="P44" i="2" l="1"/>
  <c r="Q44" i="2" s="1"/>
  <c r="R44" i="2" s="1"/>
  <c r="S44" i="2" s="1"/>
  <c r="G45" i="2"/>
  <c r="H45" i="2" s="1"/>
  <c r="C46" i="2"/>
  <c r="D47" i="2"/>
  <c r="F46" i="2"/>
  <c r="E46" i="2"/>
  <c r="G46" i="2" s="1"/>
  <c r="I44" i="2"/>
  <c r="P45" i="2" l="1"/>
  <c r="Q45" i="2" s="1"/>
  <c r="R45" i="2" s="1"/>
  <c r="S45" i="2" s="1"/>
  <c r="I45" i="2"/>
  <c r="C47" i="2"/>
  <c r="D48" i="2"/>
  <c r="F47" i="2"/>
  <c r="E47" i="2"/>
  <c r="H46" i="2"/>
  <c r="P46" i="2"/>
  <c r="G47" i="2" l="1"/>
  <c r="H47" i="2" s="1"/>
  <c r="Q46" i="2"/>
  <c r="R46" i="2" s="1"/>
  <c r="S46" i="2" s="1"/>
  <c r="I46" i="2"/>
  <c r="D49" i="2"/>
  <c r="C48" i="2"/>
  <c r="F48" i="2"/>
  <c r="E48" i="2"/>
  <c r="P47" i="2" l="1"/>
  <c r="Q47" i="2" s="1"/>
  <c r="R47" i="2" s="1"/>
  <c r="S47" i="2" s="1"/>
  <c r="C49" i="2"/>
  <c r="D50" i="2"/>
  <c r="F49" i="2"/>
  <c r="E49" i="2"/>
  <c r="I47" i="2"/>
  <c r="G48" i="2"/>
  <c r="G49" i="2" l="1"/>
  <c r="P49" i="2" s="1"/>
  <c r="H48" i="2"/>
  <c r="P48" i="2"/>
  <c r="Q48" i="2" s="1"/>
  <c r="C50" i="2"/>
  <c r="D51" i="2"/>
  <c r="F50" i="2"/>
  <c r="E50" i="2"/>
  <c r="H49" i="2" l="1"/>
  <c r="I49" i="2" s="1"/>
  <c r="G50" i="2"/>
  <c r="H50" i="2" s="1"/>
  <c r="C51" i="2"/>
  <c r="F51" i="2"/>
  <c r="E51" i="2"/>
  <c r="G51" i="2" s="1"/>
  <c r="R48" i="2"/>
  <c r="S48" i="2" s="1"/>
  <c r="I48" i="2"/>
  <c r="Q49" i="2"/>
  <c r="R49" i="2" l="1"/>
  <c r="S49" i="2" s="1"/>
  <c r="P50" i="2"/>
  <c r="Q50" i="2" s="1"/>
  <c r="R50" i="2" s="1"/>
  <c r="S50" i="2" s="1"/>
  <c r="I50" i="2"/>
  <c r="H51" i="2"/>
  <c r="P51" i="2"/>
  <c r="G33" i="2" s="1"/>
  <c r="I51" i="2" l="1"/>
  <c r="Q51" i="2"/>
  <c r="R51" i="2" l="1"/>
  <c r="S51" i="2" s="1"/>
  <c r="G32" i="2" s="1"/>
  <c r="Q52" i="2"/>
  <c r="K47" i="2"/>
  <c r="K50" i="2"/>
  <c r="K48" i="2"/>
  <c r="K49" i="2"/>
  <c r="K51" i="2"/>
  <c r="K39" i="2"/>
  <c r="K45" i="2"/>
  <c r="K44" i="2"/>
  <c r="K42" i="2"/>
  <c r="K40" i="2"/>
  <c r="K43" i="2"/>
  <c r="K46" i="2"/>
  <c r="K38" i="2"/>
  <c r="K41" i="2"/>
  <c r="E31" i="2" l="1"/>
  <c r="L44" i="2"/>
  <c r="M44" i="2"/>
  <c r="N44" i="2" s="1"/>
  <c r="O44" i="2" s="1"/>
  <c r="L42" i="2"/>
  <c r="M42" i="2"/>
  <c r="N42" i="2" s="1"/>
  <c r="O42" i="2" s="1"/>
  <c r="M45" i="2"/>
  <c r="N45" i="2" s="1"/>
  <c r="O45" i="2" s="1"/>
  <c r="L45" i="2"/>
  <c r="M39" i="2"/>
  <c r="N39" i="2" s="1"/>
  <c r="O39" i="2" s="1"/>
  <c r="L39" i="2"/>
  <c r="M41" i="2"/>
  <c r="N41" i="2" s="1"/>
  <c r="O41" i="2" s="1"/>
  <c r="L41" i="2"/>
  <c r="L38" i="2"/>
  <c r="M38" i="2"/>
  <c r="M51" i="2"/>
  <c r="N51" i="2" s="1"/>
  <c r="O51" i="2" s="1"/>
  <c r="L51" i="2"/>
  <c r="L49" i="2"/>
  <c r="M49" i="2"/>
  <c r="N49" i="2" s="1"/>
  <c r="O49" i="2" s="1"/>
  <c r="L46" i="2"/>
  <c r="M46" i="2"/>
  <c r="N46" i="2" s="1"/>
  <c r="O46" i="2" s="1"/>
  <c r="L43" i="2"/>
  <c r="M43" i="2"/>
  <c r="N43" i="2" s="1"/>
  <c r="O43" i="2" s="1"/>
  <c r="M48" i="2"/>
  <c r="N48" i="2" s="1"/>
  <c r="O48" i="2" s="1"/>
  <c r="L48" i="2"/>
  <c r="L40" i="2"/>
  <c r="M40" i="2"/>
  <c r="N40" i="2" s="1"/>
  <c r="O40" i="2" s="1"/>
  <c r="L50" i="2"/>
  <c r="M50" i="2"/>
  <c r="N50" i="2" s="1"/>
  <c r="O50" i="2" s="1"/>
  <c r="L47" i="2"/>
  <c r="M47" i="2"/>
  <c r="N47" i="2" s="1"/>
  <c r="O47" i="2" s="1"/>
  <c r="L52" i="2" l="1"/>
  <c r="E33" i="2"/>
  <c r="D90" i="2" s="1"/>
  <c r="N38" i="2"/>
  <c r="O38" i="2" s="1"/>
  <c r="F32" i="2"/>
  <c r="F33" i="2" l="1"/>
  <c r="O52" i="2"/>
</calcChain>
</file>

<file path=xl/sharedStrings.xml><?xml version="1.0" encoding="utf-8"?>
<sst xmlns="http://schemas.openxmlformats.org/spreadsheetml/2006/main" count="95" uniqueCount="82">
  <si>
    <t>mm/h</t>
  </si>
  <si>
    <t>min</t>
  </si>
  <si>
    <t>anos</t>
  </si>
  <si>
    <t>Total</t>
  </si>
  <si>
    <t>Altura precipitada</t>
  </si>
  <si>
    <t>mm</t>
  </si>
  <si>
    <t>t (h)</t>
  </si>
  <si>
    <t>Ordem</t>
  </si>
  <si>
    <t>CN</t>
  </si>
  <si>
    <t>S</t>
  </si>
  <si>
    <t>Pe</t>
  </si>
  <si>
    <t>horas</t>
  </si>
  <si>
    <t>Infiltração
(mm/h)</t>
  </si>
  <si>
    <t>i
(mm/h)</t>
  </si>
  <si>
    <t>t
(min)</t>
  </si>
  <si>
    <t>Td
(h)</t>
  </si>
  <si>
    <t>P = i.Td
(mm)</t>
  </si>
  <si>
    <t>dP
(mm)</t>
  </si>
  <si>
    <t>dP/t
(mm/h)</t>
  </si>
  <si>
    <t>P_i
(mm/h)</t>
  </si>
  <si>
    <t>P
(mm)</t>
  </si>
  <si>
    <t>Intensidade
efetiva (mm/h)</t>
  </si>
  <si>
    <t>Precipitação
efetiva (mm)</t>
  </si>
  <si>
    <t>Curve Number, CN</t>
  </si>
  <si>
    <t>Potential retention, S</t>
  </si>
  <si>
    <t>Initial abstractions, Ia</t>
  </si>
  <si>
    <t>SCS-CN</t>
  </si>
  <si>
    <t>Intensidade de precipitação máx.</t>
  </si>
  <si>
    <t>Taxa de infiltração máxima</t>
  </si>
  <si>
    <t>Descrição</t>
  </si>
  <si>
    <t>Valor</t>
  </si>
  <si>
    <t>Und</t>
  </si>
  <si>
    <t>Duplo Anel</t>
  </si>
  <si>
    <t>Taxa de infiltração</t>
  </si>
  <si>
    <t>Precipitação</t>
  </si>
  <si>
    <t>HidroUFF</t>
  </si>
  <si>
    <t>UNIVERSIDADE FEDERAL FLUMINENSE - UFF</t>
  </si>
  <si>
    <t>Escola de Engenharia</t>
  </si>
  <si>
    <t>Departamento de Engenharia Civil</t>
  </si>
  <si>
    <t>Departamento de Engenharia Agrícola e do Meio Ambiente</t>
  </si>
  <si>
    <t/>
  </si>
  <si>
    <t xml:space="preserve">  Entrada de dados</t>
  </si>
  <si>
    <t>MÉTDO DOS BLOCOS ALTERNADOS</t>
  </si>
  <si>
    <t>Perdas/Infiltração: Teste do Duplo Anel - DA e Curve Number (SCS-CN)</t>
  </si>
  <si>
    <t>Duração da Chuva</t>
  </si>
  <si>
    <t>Precipitação Efetiva</t>
  </si>
  <si>
    <t>Intervalo de tempo (dt)</t>
  </si>
  <si>
    <t>Duração da Chuva (t)t</t>
  </si>
  <si>
    <t>Intensidada da Precipitação</t>
  </si>
  <si>
    <t>Tempo de Retorno (TR)</t>
  </si>
  <si>
    <t>Precipitação Total</t>
  </si>
  <si>
    <t>dP_efetiva
(mm)</t>
  </si>
  <si>
    <t>Infiltração (mm)</t>
  </si>
  <si>
    <t>Infiltração Curve Number (SCS-CN)</t>
  </si>
  <si>
    <t>Precipitação Efetiva (Teste DA)</t>
  </si>
  <si>
    <t>EQUAÇÃO IDF</t>
  </si>
  <si>
    <t xml:space="preserve">              S  -  Infiltração ou perda calculada pelo Curve Number   (CN)</t>
  </si>
  <si>
    <t xml:space="preserve">              CN - Curve Number</t>
  </si>
  <si>
    <t>MÉTODO DO CURVE NUMBER (SCS-CN)</t>
  </si>
  <si>
    <t>a</t>
  </si>
  <si>
    <t>b</t>
  </si>
  <si>
    <t>c</t>
  </si>
  <si>
    <t>d</t>
  </si>
  <si>
    <t>Equação IDF</t>
  </si>
  <si>
    <t>TR^b</t>
  </si>
  <si>
    <t>(t+c)^d</t>
  </si>
  <si>
    <t xml:space="preserve">PROFESSOR: Gabriel Nascimento &amp; Elson Nascimento </t>
  </si>
  <si>
    <t>JAÍBA</t>
  </si>
  <si>
    <t>CURVE NUMBER</t>
  </si>
  <si>
    <r>
      <t xml:space="preserve">RIO-ÁGUAS. </t>
    </r>
    <r>
      <rPr>
        <i/>
        <sz val="11"/>
        <color theme="1"/>
        <rFont val="Aptos"/>
        <family val="2"/>
      </rPr>
      <t xml:space="preserve">Instruções técnicas para elaboração de estudos hidrológicos </t>
    </r>
  </si>
  <si>
    <r>
      <t xml:space="preserve">        dimensionamento hidráulico de sistemas de drenagem urbana. </t>
    </r>
    <r>
      <rPr>
        <sz val="11"/>
        <color theme="1"/>
        <rFont val="Aptos"/>
        <family val="2"/>
      </rPr>
      <t>2ª Versão. Prefeitura</t>
    </r>
  </si>
  <si>
    <t xml:space="preserve">        da Cidade do Rio de Janeiro. Secretaria Municipal de Obras. Subsecretaria de Gestão</t>
  </si>
  <si>
    <t xml:space="preserve">        de Bacias Hidrográficas - Rio Águas. Rio de Janeiro. 2019.</t>
  </si>
  <si>
    <r>
      <t>DNIT, Departamento Nacional de Infraestrutura de Transportes</t>
    </r>
    <r>
      <rPr>
        <i/>
        <sz val="11"/>
        <color theme="1"/>
        <rFont val="Aptos"/>
        <family val="2"/>
      </rPr>
      <t xml:space="preserve">. Manual de Hidrologia </t>
    </r>
  </si>
  <si>
    <r>
      <t xml:space="preserve">        Básica para Estruturas de Drenagem</t>
    </r>
    <r>
      <rPr>
        <sz val="11"/>
        <color theme="1"/>
        <rFont val="Aptos"/>
        <family val="2"/>
      </rPr>
      <t>. 2ª Edição. Publicação IPR-715. Ministério dos</t>
    </r>
  </si>
  <si>
    <t xml:space="preserve">        Transportes. Diretoria de Planejamento e Pesquisa. Coordenação Geral de Estudos e  </t>
  </si>
  <si>
    <t xml:space="preserve">        Pesquisas. Instituto de Pesquisas Rodoviárias. Rio de Janeiro, 2005.</t>
  </si>
  <si>
    <r>
      <t xml:space="preserve">HEC-RAS. </t>
    </r>
    <r>
      <rPr>
        <i/>
        <sz val="11"/>
        <color theme="1"/>
        <rFont val="Aptos"/>
        <family val="2"/>
      </rPr>
      <t xml:space="preserve">User’s Manual. Version 6.5.  </t>
    </r>
    <r>
      <rPr>
        <sz val="11"/>
        <color theme="1"/>
        <rFont val="Aptos"/>
        <family val="2"/>
      </rPr>
      <t xml:space="preserve">U. S. </t>
    </r>
    <r>
      <rPr>
        <sz val="11"/>
        <color rgb="FF000C34"/>
        <rFont val="Arial"/>
        <family val="2"/>
      </rPr>
      <t xml:space="preserve">Army Corps of Engineers. Hydrologic </t>
    </r>
  </si>
  <si>
    <t xml:space="preserve">      Engineering Center – River Analysis System. USA. 2024.Disponível em: </t>
  </si>
  <si>
    <t xml:space="preserve">      https://www.hec.usace.army.mil/confluence/rasdocs/rasum/latest</t>
  </si>
  <si>
    <t>BIBLIOGRAFIA</t>
  </si>
  <si>
    <t xml:space="preserve">                   Niterói, 16 de setembro de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</si>
</sst>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000"/>
    <numFmt numFmtId="166" formatCode="0.000"/>
  </numFmts>
  <fonts count="25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Aptos Narrow"/>
      <family val="2"/>
    </font>
    <font>
      <b/>
      <sz val="16"/>
      <color rgb="FF215C98"/>
      <name val="Aptos Narrow"/>
      <family val="2"/>
    </font>
    <font>
      <b/>
      <sz val="11"/>
      <color rgb="FF000000"/>
      <name val="Aptos Narrow"/>
      <family val="2"/>
    </font>
    <font>
      <b/>
      <sz val="11"/>
      <color rgb="FF153D64"/>
      <name val="Aptos Narrow"/>
      <family val="2"/>
    </font>
    <font>
      <b/>
      <sz val="11"/>
      <color theme="4" tint="-0.499984740745262"/>
      <name val="Calibri"/>
      <family val="2"/>
      <scheme val="minor"/>
    </font>
    <font>
      <b/>
      <sz val="11"/>
      <color theme="4" tint="-0.499984740745262"/>
      <name val="Calibri"/>
      <family val="2"/>
    </font>
    <font>
      <sz val="11"/>
      <color rgb="FFFF0000"/>
      <name val="Aptos Narrow"/>
      <family val="2"/>
    </font>
    <font>
      <b/>
      <sz val="11"/>
      <color rgb="FFFF0000"/>
      <name val="Aptos Narrow"/>
      <family val="2"/>
    </font>
    <font>
      <b/>
      <sz val="11"/>
      <name val="Calibri"/>
      <family val="2"/>
      <scheme val="minor"/>
    </font>
    <font>
      <b/>
      <sz val="11"/>
      <name val="Calibri"/>
      <family val="2"/>
    </font>
    <font>
      <sz val="11"/>
      <color theme="1"/>
      <name val="Aptos"/>
      <family val="2"/>
    </font>
    <font>
      <i/>
      <sz val="11"/>
      <color theme="1"/>
      <name val="Aptos"/>
      <family val="2"/>
    </font>
    <font>
      <sz val="11"/>
      <color rgb="FF000C34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9CC2E5"/>
        <bgColor rgb="FF9CC2E5"/>
      </patternFill>
    </fill>
    <fill>
      <patternFill patternType="solid">
        <fgColor rgb="FFFFD965"/>
        <bgColor rgb="FFFFD965"/>
      </patternFill>
    </fill>
    <fill>
      <patternFill patternType="solid">
        <fgColor theme="0"/>
        <bgColor rgb="FFFFFF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rgb="FF000000"/>
      </patternFill>
    </fill>
    <fill>
      <patternFill patternType="solid">
        <fgColor theme="9" tint="0.39997558519241921"/>
        <bgColor rgb="FFFFD965"/>
      </patternFill>
    </fill>
    <fill>
      <patternFill patternType="solid">
        <fgColor theme="9" tint="0.79998168889431442"/>
        <bgColor indexed="64"/>
      </patternFill>
    </fill>
  </fills>
  <borders count="58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9" fontId="6" fillId="0" borderId="0" applyFont="0" applyFill="0" applyBorder="0" applyAlignment="0" applyProtection="0"/>
    <xf numFmtId="0" fontId="2" fillId="0" borderId="1"/>
    <xf numFmtId="0" fontId="23" fillId="0" borderId="0" applyNumberFormat="0" applyFill="0" applyBorder="0" applyAlignment="0" applyProtection="0"/>
  </cellStyleXfs>
  <cellXfs count="152">
    <xf numFmtId="0" fontId="0" fillId="0" borderId="0" xfId="0"/>
    <xf numFmtId="0" fontId="5" fillId="0" borderId="0" xfId="0" applyFont="1"/>
    <xf numFmtId="164" fontId="4" fillId="0" borderId="0" xfId="0" applyNumberFormat="1" applyFont="1"/>
    <xf numFmtId="0" fontId="4" fillId="0" borderId="2" xfId="0" applyFont="1" applyBorder="1"/>
    <xf numFmtId="164" fontId="4" fillId="0" borderId="2" xfId="0" applyNumberFormat="1" applyFont="1" applyBorder="1"/>
    <xf numFmtId="2" fontId="4" fillId="0" borderId="2" xfId="0" applyNumberFormat="1" applyFont="1" applyBorder="1"/>
    <xf numFmtId="0" fontId="4" fillId="0" borderId="0" xfId="0" applyFont="1" applyAlignment="1">
      <alignment horizontal="right"/>
    </xf>
    <xf numFmtId="0" fontId="7" fillId="0" borderId="0" xfId="0" applyFont="1"/>
    <xf numFmtId="0" fontId="0" fillId="0" borderId="1" xfId="0" applyBorder="1"/>
    <xf numFmtId="0" fontId="0" fillId="0" borderId="3" xfId="0" applyBorder="1"/>
    <xf numFmtId="0" fontId="0" fillId="0" borderId="7" xfId="0" applyBorder="1"/>
    <xf numFmtId="0" fontId="0" fillId="0" borderId="12" xfId="0" applyBorder="1"/>
    <xf numFmtId="0" fontId="10" fillId="0" borderId="1" xfId="0" applyFont="1" applyBorder="1"/>
    <xf numFmtId="0" fontId="12" fillId="0" borderId="5" xfId="0" applyFont="1" applyBorder="1"/>
    <xf numFmtId="0" fontId="12" fillId="0" borderId="6" xfId="0" applyFont="1" applyBorder="1"/>
    <xf numFmtId="0" fontId="10" fillId="0" borderId="7" xfId="0" applyFont="1" applyBorder="1"/>
    <xf numFmtId="0" fontId="12" fillId="0" borderId="8" xfId="0" applyFont="1" applyBorder="1"/>
    <xf numFmtId="0" fontId="12" fillId="0" borderId="1" xfId="0" applyFont="1" applyBorder="1"/>
    <xf numFmtId="0" fontId="10" fillId="0" borderId="9" xfId="0" applyFont="1" applyBorder="1"/>
    <xf numFmtId="0" fontId="12" fillId="0" borderId="10" xfId="0" applyFont="1" applyBorder="1"/>
    <xf numFmtId="0" fontId="12" fillId="0" borderId="11" xfId="0" applyFont="1" applyBorder="1"/>
    <xf numFmtId="0" fontId="10" fillId="0" borderId="12" xfId="0" applyFont="1" applyBorder="1"/>
    <xf numFmtId="0" fontId="13" fillId="0" borderId="10" xfId="0" applyFont="1" applyBorder="1"/>
    <xf numFmtId="0" fontId="13" fillId="0" borderId="5" xfId="0" applyFont="1" applyBorder="1"/>
    <xf numFmtId="0" fontId="5" fillId="0" borderId="3" xfId="0" applyFont="1" applyBorder="1"/>
    <xf numFmtId="164" fontId="3" fillId="0" borderId="3" xfId="0" applyNumberFormat="1" applyFont="1" applyBorder="1" applyAlignment="1">
      <alignment horizontal="center"/>
    </xf>
    <xf numFmtId="0" fontId="0" fillId="0" borderId="5" xfId="0" applyBorder="1"/>
    <xf numFmtId="164" fontId="4" fillId="0" borderId="18" xfId="0" applyNumberFormat="1" applyFont="1" applyBorder="1" applyAlignment="1">
      <alignment horizontal="center"/>
    </xf>
    <xf numFmtId="0" fontId="0" fillId="0" borderId="21" xfId="0" applyBorder="1"/>
    <xf numFmtId="164" fontId="3" fillId="0" borderId="23" xfId="0" applyNumberFormat="1" applyFont="1" applyBorder="1" applyAlignment="1">
      <alignment horizontal="center"/>
    </xf>
    <xf numFmtId="164" fontId="4" fillId="0" borderId="24" xfId="0" applyNumberFormat="1" applyFont="1" applyBorder="1"/>
    <xf numFmtId="0" fontId="0" fillId="0" borderId="10" xfId="0" applyBorder="1"/>
    <xf numFmtId="2" fontId="3" fillId="2" borderId="19" xfId="0" applyNumberFormat="1" applyFont="1" applyFill="1" applyBorder="1" applyAlignment="1">
      <alignment horizontal="center"/>
    </xf>
    <xf numFmtId="0" fontId="3" fillId="0" borderId="3" xfId="0" applyFont="1" applyBorder="1"/>
    <xf numFmtId="0" fontId="0" fillId="0" borderId="18" xfId="0" applyBorder="1" applyAlignment="1">
      <alignment horizontal="right"/>
    </xf>
    <xf numFmtId="0" fontId="0" fillId="0" borderId="19" xfId="0" applyBorder="1"/>
    <xf numFmtId="165" fontId="5" fillId="0" borderId="20" xfId="0" applyNumberFormat="1" applyFont="1" applyBorder="1" applyAlignment="1">
      <alignment horizontal="right"/>
    </xf>
    <xf numFmtId="0" fontId="0" fillId="0" borderId="28" xfId="0" applyBorder="1"/>
    <xf numFmtId="2" fontId="0" fillId="0" borderId="24" xfId="0" applyNumberFormat="1" applyBorder="1" applyAlignment="1">
      <alignment horizontal="right"/>
    </xf>
    <xf numFmtId="2" fontId="0" fillId="0" borderId="30" xfId="0" applyNumberFormat="1" applyBorder="1" applyAlignment="1">
      <alignment horizontal="right"/>
    </xf>
    <xf numFmtId="164" fontId="5" fillId="0" borderId="24" xfId="0" applyNumberFormat="1" applyFont="1" applyBorder="1" applyAlignment="1">
      <alignment horizontal="right"/>
    </xf>
    <xf numFmtId="2" fontId="4" fillId="0" borderId="30" xfId="0" applyNumberFormat="1" applyFont="1" applyBorder="1" applyAlignment="1">
      <alignment horizontal="right"/>
    </xf>
    <xf numFmtId="165" fontId="5" fillId="0" borderId="24" xfId="0" applyNumberFormat="1" applyFont="1" applyBorder="1" applyAlignment="1">
      <alignment horizontal="right"/>
    </xf>
    <xf numFmtId="0" fontId="3" fillId="0" borderId="26" xfId="0" applyFont="1" applyBorder="1"/>
    <xf numFmtId="0" fontId="3" fillId="5" borderId="27" xfId="0" applyFont="1" applyFill="1" applyBorder="1"/>
    <xf numFmtId="0" fontId="3" fillId="5" borderId="19" xfId="0" applyFont="1" applyFill="1" applyBorder="1"/>
    <xf numFmtId="0" fontId="3" fillId="0" borderId="34" xfId="0" applyFont="1" applyBorder="1" applyAlignment="1">
      <alignment horizontal="center" wrapText="1"/>
    </xf>
    <xf numFmtId="0" fontId="0" fillId="0" borderId="26" xfId="0" applyBorder="1"/>
    <xf numFmtId="2" fontId="4" fillId="0" borderId="26" xfId="0" applyNumberFormat="1" applyFont="1" applyBorder="1"/>
    <xf numFmtId="2" fontId="4" fillId="0" borderId="27" xfId="0" applyNumberFormat="1" applyFont="1" applyBorder="1"/>
    <xf numFmtId="0" fontId="5" fillId="0" borderId="1" xfId="0" applyFont="1" applyBorder="1"/>
    <xf numFmtId="0" fontId="3" fillId="6" borderId="35" xfId="0" applyFont="1" applyFill="1" applyBorder="1" applyAlignment="1">
      <alignment horizontal="center" wrapText="1"/>
    </xf>
    <xf numFmtId="0" fontId="4" fillId="6" borderId="36" xfId="0" applyFont="1" applyFill="1" applyBorder="1"/>
    <xf numFmtId="2" fontId="4" fillId="6" borderId="36" xfId="0" applyNumberFormat="1" applyFont="1" applyFill="1" applyBorder="1"/>
    <xf numFmtId="2" fontId="4" fillId="6" borderId="37" xfId="0" applyNumberFormat="1" applyFont="1" applyFill="1" applyBorder="1"/>
    <xf numFmtId="0" fontId="3" fillId="0" borderId="24" xfId="0" applyFont="1" applyBorder="1" applyAlignment="1">
      <alignment horizontal="center" wrapText="1"/>
    </xf>
    <xf numFmtId="164" fontId="0" fillId="0" borderId="18" xfId="1" applyNumberFormat="1" applyFont="1" applyBorder="1"/>
    <xf numFmtId="164" fontId="0" fillId="0" borderId="20" xfId="1" applyNumberFormat="1" applyFont="1" applyBorder="1"/>
    <xf numFmtId="0" fontId="3" fillId="0" borderId="21" xfId="0" applyFont="1" applyBorder="1" applyAlignment="1">
      <alignment horizontal="center" wrapText="1"/>
    </xf>
    <xf numFmtId="2" fontId="4" fillId="0" borderId="28" xfId="0" applyNumberFormat="1" applyFont="1" applyBorder="1"/>
    <xf numFmtId="2" fontId="4" fillId="0" borderId="38" xfId="0" applyNumberFormat="1" applyFont="1" applyBorder="1"/>
    <xf numFmtId="0" fontId="3" fillId="7" borderId="40" xfId="0" applyFont="1" applyFill="1" applyBorder="1" applyAlignment="1">
      <alignment horizontal="center" wrapText="1"/>
    </xf>
    <xf numFmtId="0" fontId="3" fillId="0" borderId="43" xfId="0" applyFont="1" applyBorder="1" applyAlignment="1">
      <alignment horizontal="center" wrapText="1"/>
    </xf>
    <xf numFmtId="0" fontId="3" fillId="0" borderId="43" xfId="0" applyFont="1" applyBorder="1" applyAlignment="1">
      <alignment horizontal="center"/>
    </xf>
    <xf numFmtId="0" fontId="3" fillId="4" borderId="44" xfId="0" applyFont="1" applyFill="1" applyBorder="1" applyAlignment="1">
      <alignment horizontal="center" wrapText="1"/>
    </xf>
    <xf numFmtId="0" fontId="4" fillId="4" borderId="45" xfId="0" applyFont="1" applyFill="1" applyBorder="1"/>
    <xf numFmtId="2" fontId="4" fillId="4" borderId="45" xfId="0" applyNumberFormat="1" applyFont="1" applyFill="1" applyBorder="1"/>
    <xf numFmtId="164" fontId="4" fillId="0" borderId="46" xfId="0" applyNumberFormat="1" applyFont="1" applyBorder="1"/>
    <xf numFmtId="2" fontId="4" fillId="0" borderId="46" xfId="0" applyNumberFormat="1" applyFont="1" applyBorder="1"/>
    <xf numFmtId="0" fontId="4" fillId="0" borderId="46" xfId="0" applyFont="1" applyBorder="1"/>
    <xf numFmtId="2" fontId="4" fillId="4" borderId="47" xfId="0" applyNumberFormat="1" applyFont="1" applyFill="1" applyBorder="1"/>
    <xf numFmtId="0" fontId="3" fillId="0" borderId="48" xfId="0" applyFont="1" applyBorder="1" applyAlignment="1">
      <alignment horizontal="center" wrapText="1"/>
    </xf>
    <xf numFmtId="1" fontId="4" fillId="0" borderId="49" xfId="0" applyNumberFormat="1" applyFont="1" applyBorder="1"/>
    <xf numFmtId="1" fontId="4" fillId="0" borderId="50" xfId="0" applyNumberFormat="1" applyFont="1" applyBorder="1"/>
    <xf numFmtId="0" fontId="3" fillId="0" borderId="51" xfId="0" applyFont="1" applyBorder="1" applyAlignment="1">
      <alignment horizontal="center" vertical="center"/>
    </xf>
    <xf numFmtId="2" fontId="3" fillId="0" borderId="52" xfId="0" applyNumberFormat="1" applyFont="1" applyBorder="1" applyAlignment="1">
      <alignment horizontal="center"/>
    </xf>
    <xf numFmtId="2" fontId="3" fillId="0" borderId="53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40" xfId="0" applyFont="1" applyBorder="1" applyAlignment="1">
      <alignment horizontal="center" wrapText="1"/>
    </xf>
    <xf numFmtId="164" fontId="0" fillId="0" borderId="41" xfId="0" applyNumberFormat="1" applyBorder="1"/>
    <xf numFmtId="164" fontId="0" fillId="0" borderId="42" xfId="0" applyNumberFormat="1" applyBorder="1"/>
    <xf numFmtId="164" fontId="0" fillId="7" borderId="41" xfId="1" applyNumberFormat="1" applyFont="1" applyFill="1" applyBorder="1"/>
    <xf numFmtId="164" fontId="0" fillId="7" borderId="42" xfId="1" applyNumberFormat="1" applyFont="1" applyFill="1" applyBorder="1"/>
    <xf numFmtId="164" fontId="0" fillId="9" borderId="31" xfId="1" applyNumberFormat="1" applyFont="1" applyFill="1" applyBorder="1"/>
    <xf numFmtId="164" fontId="0" fillId="9" borderId="39" xfId="1" applyNumberFormat="1" applyFont="1" applyFill="1" applyBorder="1"/>
    <xf numFmtId="0" fontId="3" fillId="9" borderId="22" xfId="0" applyFont="1" applyFill="1" applyBorder="1" applyAlignment="1">
      <alignment horizontal="center" wrapText="1"/>
    </xf>
    <xf numFmtId="0" fontId="3" fillId="10" borderId="40" xfId="0" applyFont="1" applyFill="1" applyBorder="1" applyAlignment="1">
      <alignment horizontal="center" wrapText="1"/>
    </xf>
    <xf numFmtId="0" fontId="0" fillId="10" borderId="41" xfId="0" applyFill="1" applyBorder="1"/>
    <xf numFmtId="2" fontId="4" fillId="10" borderId="41" xfId="0" applyNumberFormat="1" applyFont="1" applyFill="1" applyBorder="1"/>
    <xf numFmtId="2" fontId="4" fillId="10" borderId="42" xfId="0" applyNumberFormat="1" applyFont="1" applyFill="1" applyBorder="1"/>
    <xf numFmtId="1" fontId="0" fillId="0" borderId="0" xfId="0" applyNumberFormat="1"/>
    <xf numFmtId="0" fontId="0" fillId="0" borderId="31" xfId="0" applyBorder="1" applyAlignment="1">
      <alignment horizontal="left"/>
    </xf>
    <xf numFmtId="0" fontId="1" fillId="0" borderId="31" xfId="0" applyFont="1" applyBorder="1"/>
    <xf numFmtId="0" fontId="15" fillId="0" borderId="41" xfId="0" applyFont="1" applyBorder="1" applyAlignment="1">
      <alignment horizontal="center" vertical="center"/>
    </xf>
    <xf numFmtId="0" fontId="1" fillId="0" borderId="39" xfId="0" applyFont="1" applyBorder="1"/>
    <xf numFmtId="165" fontId="0" fillId="0" borderId="0" xfId="0" applyNumberFormat="1"/>
    <xf numFmtId="0" fontId="1" fillId="0" borderId="34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9" fillId="3" borderId="20" xfId="0" applyFont="1" applyFill="1" applyBorder="1" applyAlignment="1">
      <alignment horizontal="center"/>
    </xf>
    <xf numFmtId="164" fontId="19" fillId="3" borderId="20" xfId="0" applyNumberFormat="1" applyFont="1" applyFill="1" applyBorder="1" applyAlignment="1">
      <alignment horizontal="center"/>
    </xf>
    <xf numFmtId="0" fontId="2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24" fillId="0" borderId="0" xfId="3" applyFont="1"/>
    <xf numFmtId="2" fontId="4" fillId="0" borderId="3" xfId="0" applyNumberFormat="1" applyFont="1" applyBorder="1" applyAlignment="1">
      <alignment horizontal="center"/>
    </xf>
    <xf numFmtId="166" fontId="3" fillId="6" borderId="4" xfId="0" applyNumberFormat="1" applyFont="1" applyFill="1" applyBorder="1"/>
    <xf numFmtId="2" fontId="3" fillId="10" borderId="4" xfId="0" applyNumberFormat="1" applyFont="1" applyFill="1" applyBorder="1"/>
    <xf numFmtId="164" fontId="7" fillId="7" borderId="42" xfId="1" applyNumberFormat="1" applyFont="1" applyFill="1" applyBorder="1"/>
    <xf numFmtId="2" fontId="3" fillId="12" borderId="19" xfId="0" applyNumberFormat="1" applyFont="1" applyFill="1" applyBorder="1" applyAlignment="1">
      <alignment horizontal="center"/>
    </xf>
    <xf numFmtId="0" fontId="3" fillId="2" borderId="42" xfId="0" applyFont="1" applyFill="1" applyBorder="1" applyAlignment="1">
      <alignment horizontal="center"/>
    </xf>
    <xf numFmtId="0" fontId="3" fillId="12" borderId="27" xfId="0" applyFont="1" applyFill="1" applyBorder="1" applyAlignment="1">
      <alignment horizontal="center"/>
    </xf>
    <xf numFmtId="0" fontId="3" fillId="0" borderId="34" xfId="0" applyFont="1" applyBorder="1"/>
    <xf numFmtId="0" fontId="3" fillId="0" borderId="23" xfId="0" applyFont="1" applyBorder="1"/>
    <xf numFmtId="0" fontId="3" fillId="13" borderId="40" xfId="0" applyFont="1" applyFill="1" applyBorder="1" applyAlignment="1">
      <alignment horizontal="center"/>
    </xf>
    <xf numFmtId="0" fontId="3" fillId="13" borderId="4" xfId="0" applyFont="1" applyFill="1" applyBorder="1" applyAlignment="1">
      <alignment horizontal="center" wrapText="1"/>
    </xf>
    <xf numFmtId="0" fontId="0" fillId="13" borderId="4" xfId="0" applyFill="1" applyBorder="1" applyAlignment="1">
      <alignment horizontal="center"/>
    </xf>
    <xf numFmtId="0" fontId="7" fillId="13" borderId="32" xfId="0" applyFont="1" applyFill="1" applyBorder="1" applyAlignment="1">
      <alignment horizontal="center"/>
    </xf>
    <xf numFmtId="0" fontId="7" fillId="13" borderId="33" xfId="0" applyFont="1" applyFill="1" applyBorder="1" applyAlignment="1">
      <alignment horizontal="center"/>
    </xf>
    <xf numFmtId="0" fontId="7" fillId="13" borderId="17" xfId="0" applyFont="1" applyFill="1" applyBorder="1" applyAlignment="1">
      <alignment horizontal="center"/>
    </xf>
    <xf numFmtId="0" fontId="12" fillId="0" borderId="15" xfId="0" applyFont="1" applyBorder="1"/>
    <xf numFmtId="0" fontId="10" fillId="11" borderId="4" xfId="0" applyFont="1" applyFill="1" applyBorder="1" applyAlignment="1">
      <alignment horizontal="center"/>
    </xf>
    <xf numFmtId="0" fontId="16" fillId="11" borderId="54" xfId="0" applyFont="1" applyFill="1" applyBorder="1" applyAlignment="1" applyProtection="1">
      <alignment horizontal="center"/>
      <protection locked="0"/>
    </xf>
    <xf numFmtId="0" fontId="16" fillId="11" borderId="4" xfId="0" applyFont="1" applyFill="1" applyBorder="1" applyAlignment="1" applyProtection="1">
      <alignment horizontal="center"/>
      <protection locked="0"/>
    </xf>
    <xf numFmtId="0" fontId="9" fillId="8" borderId="24" xfId="0" applyFont="1" applyFill="1" applyBorder="1" applyProtection="1">
      <protection locked="0"/>
    </xf>
    <xf numFmtId="0" fontId="9" fillId="8" borderId="18" xfId="0" applyFont="1" applyFill="1" applyBorder="1" applyProtection="1">
      <protection locked="0"/>
    </xf>
    <xf numFmtId="0" fontId="9" fillId="8" borderId="20" xfId="0" applyFont="1" applyFill="1" applyBorder="1" applyProtection="1">
      <protection locked="0"/>
    </xf>
    <xf numFmtId="0" fontId="17" fillId="0" borderId="22" xfId="0" applyFont="1" applyBorder="1"/>
    <xf numFmtId="0" fontId="8" fillId="0" borderId="31" xfId="0" applyFont="1" applyBorder="1"/>
    <xf numFmtId="0" fontId="17" fillId="0" borderId="31" xfId="0" applyFont="1" applyBorder="1"/>
    <xf numFmtId="0" fontId="9" fillId="0" borderId="28" xfId="0" applyFont="1" applyBorder="1"/>
    <xf numFmtId="2" fontId="3" fillId="0" borderId="23" xfId="0" applyNumberFormat="1" applyFont="1" applyBorder="1" applyAlignment="1">
      <alignment horizontal="center"/>
    </xf>
    <xf numFmtId="0" fontId="18" fillId="13" borderId="16" xfId="0" applyFont="1" applyFill="1" applyBorder="1" applyAlignment="1">
      <alignment horizontal="center"/>
    </xf>
    <xf numFmtId="0" fontId="18" fillId="13" borderId="33" xfId="0" applyFont="1" applyFill="1" applyBorder="1" applyAlignment="1">
      <alignment horizontal="center"/>
    </xf>
    <xf numFmtId="0" fontId="18" fillId="13" borderId="17" xfId="0" applyFont="1" applyFill="1" applyBorder="1" applyAlignment="1">
      <alignment horizontal="center"/>
    </xf>
    <xf numFmtId="0" fontId="14" fillId="0" borderId="55" xfId="0" applyFont="1" applyBorder="1" applyAlignment="1">
      <alignment horizontal="center" vertical="center"/>
    </xf>
    <xf numFmtId="0" fontId="14" fillId="0" borderId="41" xfId="0" applyFont="1" applyBorder="1" applyAlignment="1">
      <alignment horizontal="center" vertical="center"/>
    </xf>
    <xf numFmtId="0" fontId="15" fillId="0" borderId="41" xfId="0" applyFont="1" applyBorder="1" applyAlignment="1">
      <alignment horizontal="center" vertical="center"/>
    </xf>
    <xf numFmtId="0" fontId="15" fillId="0" borderId="42" xfId="0" applyFont="1" applyBorder="1" applyAlignment="1">
      <alignment horizontal="center" vertical="center"/>
    </xf>
    <xf numFmtId="0" fontId="7" fillId="13" borderId="56" xfId="0" applyFont="1" applyFill="1" applyBorder="1" applyAlignment="1">
      <alignment horizontal="center"/>
    </xf>
    <xf numFmtId="0" fontId="7" fillId="13" borderId="29" xfId="0" applyFont="1" applyFill="1" applyBorder="1" applyAlignment="1">
      <alignment horizontal="center"/>
    </xf>
    <xf numFmtId="0" fontId="11" fillId="0" borderId="13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9" fillId="8" borderId="26" xfId="0" applyFont="1" applyFill="1" applyBorder="1" applyAlignment="1" applyProtection="1">
      <alignment horizontal="center"/>
      <protection locked="0"/>
    </xf>
    <xf numFmtId="0" fontId="9" fillId="8" borderId="18" xfId="0" applyFont="1" applyFill="1" applyBorder="1" applyAlignment="1" applyProtection="1">
      <alignment horizontal="center"/>
      <protection locked="0"/>
    </xf>
    <xf numFmtId="0" fontId="18" fillId="13" borderId="14" xfId="0" applyFont="1" applyFill="1" applyBorder="1" applyAlignment="1">
      <alignment horizontal="center"/>
    </xf>
    <xf numFmtId="0" fontId="18" fillId="13" borderId="15" xfId="0" applyFont="1" applyFill="1" applyBorder="1" applyAlignment="1">
      <alignment horizontal="center"/>
    </xf>
    <xf numFmtId="0" fontId="19" fillId="13" borderId="57" xfId="0" applyFont="1" applyFill="1" applyBorder="1" applyAlignment="1">
      <alignment horizontal="center"/>
    </xf>
    <xf numFmtId="0" fontId="19" fillId="13" borderId="25" xfId="0" applyFont="1" applyFill="1" applyBorder="1" applyAlignment="1">
      <alignment horizontal="center"/>
    </xf>
    <xf numFmtId="0" fontId="7" fillId="8" borderId="13" xfId="0" applyFont="1" applyFill="1" applyBorder="1" applyAlignment="1">
      <alignment horizontal="center"/>
    </xf>
    <xf numFmtId="0" fontId="7" fillId="8" borderId="15" xfId="0" applyFont="1" applyFill="1" applyBorder="1" applyAlignment="1">
      <alignment horizontal="center"/>
    </xf>
    <xf numFmtId="0" fontId="7" fillId="8" borderId="14" xfId="0" applyFont="1" applyFill="1" applyBorder="1" applyAlignment="1">
      <alignment horizontal="center"/>
    </xf>
  </cellXfs>
  <cellStyles count="4">
    <cellStyle name="Hiperlink" xfId="3" builtinId="8"/>
    <cellStyle name="Normal" xfId="0" builtinId="0"/>
    <cellStyle name="Normal 2" xfId="2" xr:uid="{2514C06C-7DB2-4C23-8B43-4B945F711652}"/>
    <cellStyle name="Porcentagem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'BLOCOS ALTERNADOS'!$M$35:$O$35</c:f>
              <c:strCache>
                <c:ptCount val="1"/>
                <c:pt idx="0">
                  <c:v>Precipitação Efetiva (Teste DA)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numRef>
              <c:f>'BLOCOS ALTERNADOS'!$D$37:$D$51</c:f>
              <c:numCache>
                <c:formatCode>0</c:formatCode>
                <c:ptCount val="15"/>
                <c:pt idx="0">
                  <c:v>0</c:v>
                </c:pt>
                <c:pt idx="1">
                  <c:v>17.142857142857142</c:v>
                </c:pt>
                <c:pt idx="2">
                  <c:v>34.285714285714285</c:v>
                </c:pt>
                <c:pt idx="3">
                  <c:v>51.428571428571431</c:v>
                </c:pt>
                <c:pt idx="4">
                  <c:v>68.571428571428569</c:v>
                </c:pt>
                <c:pt idx="5">
                  <c:v>85.714285714285708</c:v>
                </c:pt>
                <c:pt idx="6">
                  <c:v>102.85714285714285</c:v>
                </c:pt>
                <c:pt idx="7">
                  <c:v>119.99999999999999</c:v>
                </c:pt>
                <c:pt idx="8">
                  <c:v>137.14285714285714</c:v>
                </c:pt>
                <c:pt idx="9">
                  <c:v>154.28571428571428</c:v>
                </c:pt>
                <c:pt idx="10">
                  <c:v>171.42857142857142</c:v>
                </c:pt>
                <c:pt idx="11">
                  <c:v>188.57142857142856</c:v>
                </c:pt>
                <c:pt idx="12">
                  <c:v>205.71428571428569</c:v>
                </c:pt>
                <c:pt idx="13">
                  <c:v>222.85714285714283</c:v>
                </c:pt>
                <c:pt idx="14">
                  <c:v>239.99999999999997</c:v>
                </c:pt>
              </c:numCache>
            </c:numRef>
          </c:cat>
          <c:val>
            <c:numRef>
              <c:f>'BLOCOS ALTERNADOS'!$O$37:$O$51</c:f>
              <c:numCache>
                <c:formatCode>0.00</c:formatCode>
                <c:ptCount val="15"/>
                <c:pt idx="0" formatCode="General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5.605920287983178</c:v>
                </c:pt>
                <c:pt idx="6">
                  <c:v>29.885237584763917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95-4508-B11F-780CDC7772B8}"/>
            </c:ext>
          </c:extLst>
        </c:ser>
        <c:ser>
          <c:idx val="1"/>
          <c:order val="1"/>
          <c:tx>
            <c:strRef>
              <c:f>'BLOCOS ALTERNADOS'!$P$35:$S$35</c:f>
              <c:strCache>
                <c:ptCount val="1"/>
                <c:pt idx="0">
                  <c:v>Infiltração Curve Number (SCS-CN)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numRef>
              <c:f>'BLOCOS ALTERNADOS'!$D$37:$D$51</c:f>
              <c:numCache>
                <c:formatCode>0</c:formatCode>
                <c:ptCount val="15"/>
                <c:pt idx="0">
                  <c:v>0</c:v>
                </c:pt>
                <c:pt idx="1">
                  <c:v>17.142857142857142</c:v>
                </c:pt>
                <c:pt idx="2">
                  <c:v>34.285714285714285</c:v>
                </c:pt>
                <c:pt idx="3">
                  <c:v>51.428571428571431</c:v>
                </c:pt>
                <c:pt idx="4">
                  <c:v>68.571428571428569</c:v>
                </c:pt>
                <c:pt idx="5">
                  <c:v>85.714285714285708</c:v>
                </c:pt>
                <c:pt idx="6">
                  <c:v>102.85714285714285</c:v>
                </c:pt>
                <c:pt idx="7">
                  <c:v>119.99999999999999</c:v>
                </c:pt>
                <c:pt idx="8">
                  <c:v>137.14285714285714</c:v>
                </c:pt>
                <c:pt idx="9">
                  <c:v>154.28571428571428</c:v>
                </c:pt>
                <c:pt idx="10">
                  <c:v>171.42857142857142</c:v>
                </c:pt>
                <c:pt idx="11">
                  <c:v>188.57142857142856</c:v>
                </c:pt>
                <c:pt idx="12">
                  <c:v>205.71428571428569</c:v>
                </c:pt>
                <c:pt idx="13">
                  <c:v>222.85714285714283</c:v>
                </c:pt>
                <c:pt idx="14">
                  <c:v>239.99999999999997</c:v>
                </c:pt>
              </c:numCache>
            </c:numRef>
          </c:cat>
          <c:val>
            <c:numRef>
              <c:f>'BLOCOS ALTERNADOS'!$R$37:$R$51</c:f>
              <c:numCache>
                <c:formatCode>0.0</c:formatCode>
                <c:ptCount val="15"/>
                <c:pt idx="0">
                  <c:v>0</c:v>
                </c:pt>
                <c:pt idx="1">
                  <c:v>39.136479515399373</c:v>
                </c:pt>
                <c:pt idx="2">
                  <c:v>11.791688551594973</c:v>
                </c:pt>
                <c:pt idx="3">
                  <c:v>6.4114655841770478</c:v>
                </c:pt>
                <c:pt idx="4">
                  <c:v>4.3226597988552342</c:v>
                </c:pt>
                <c:pt idx="5">
                  <c:v>3.2335337261353452</c:v>
                </c:pt>
                <c:pt idx="6">
                  <c:v>2.571053934875799</c:v>
                </c:pt>
                <c:pt idx="7">
                  <c:v>2.1277896645206766</c:v>
                </c:pt>
                <c:pt idx="8">
                  <c:v>1.8113319991874377</c:v>
                </c:pt>
                <c:pt idx="9">
                  <c:v>1.5745426080758804</c:v>
                </c:pt>
                <c:pt idx="10">
                  <c:v>1.3909523371518446</c:v>
                </c:pt>
                <c:pt idx="11">
                  <c:v>1.2445907219029344</c:v>
                </c:pt>
                <c:pt idx="12">
                  <c:v>1.1252679085559834</c:v>
                </c:pt>
                <c:pt idx="13">
                  <c:v>1.0261848237724394</c:v>
                </c:pt>
                <c:pt idx="14">
                  <c:v>0.94263554722096643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A95-4508-B11F-780CDC7772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12573103"/>
        <c:axId val="212574063"/>
      </c:barChart>
      <c:catAx>
        <c:axId val="212573103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Tempo (min)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12574063"/>
        <c:crosses val="autoZero"/>
        <c:auto val="1"/>
        <c:lblAlgn val="ctr"/>
        <c:lblOffset val="100"/>
        <c:noMultiLvlLbl val="0"/>
      </c:catAx>
      <c:valAx>
        <c:axId val="2125740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Altura  (mm)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12573103"/>
        <c:crosses val="autoZero"/>
        <c:crossBetween val="between"/>
      </c:valAx>
      <c:spPr>
        <a:noFill/>
        <a:ln>
          <a:solidFill>
            <a:sysClr val="windowText" lastClr="000000"/>
          </a:solidFill>
        </a:ln>
        <a:effectLst/>
      </c:spPr>
    </c:plotArea>
    <c:legend>
      <c:legendPos val="r"/>
      <c:layout>
        <c:manualLayout>
          <c:xMode val="edge"/>
          <c:yMode val="edge"/>
          <c:x val="0.50688456733126153"/>
          <c:y val="8.8541136987694502E-2"/>
          <c:w val="0.46032683109268335"/>
          <c:h val="0.3093129093063462"/>
        </c:manualLayout>
      </c:layout>
      <c:overlay val="1"/>
      <c:spPr>
        <a:noFill/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1200">
          <a:solidFill>
            <a:sysClr val="windowText" lastClr="000000"/>
          </a:solidFill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pt-BR" b="1"/>
              <a:t>Perdas/Infiltração Cur</a:t>
            </a:r>
            <a:r>
              <a:rPr lang="pt-BR" b="1" baseline="0"/>
              <a:t> Number</a:t>
            </a:r>
            <a:r>
              <a:rPr lang="pt-BR" b="1"/>
              <a:t> (SCS-CN)</a:t>
            </a:r>
          </a:p>
        </c:rich>
      </c:tx>
      <c:layout>
        <c:manualLayout>
          <c:xMode val="edge"/>
          <c:yMode val="edge"/>
          <c:x val="0.33268813096713473"/>
          <c:y val="2.67221964663577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Precipitação Total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'BLOCOS ALTERNADOS'!$D$37:$D$51</c:f>
              <c:numCache>
                <c:formatCode>0</c:formatCode>
                <c:ptCount val="15"/>
                <c:pt idx="0">
                  <c:v>0</c:v>
                </c:pt>
                <c:pt idx="1">
                  <c:v>17.142857142857142</c:v>
                </c:pt>
                <c:pt idx="2">
                  <c:v>34.285714285714285</c:v>
                </c:pt>
                <c:pt idx="3">
                  <c:v>51.428571428571431</c:v>
                </c:pt>
                <c:pt idx="4">
                  <c:v>68.571428571428569</c:v>
                </c:pt>
                <c:pt idx="5">
                  <c:v>85.714285714285708</c:v>
                </c:pt>
                <c:pt idx="6">
                  <c:v>102.85714285714285</c:v>
                </c:pt>
                <c:pt idx="7">
                  <c:v>119.99999999999999</c:v>
                </c:pt>
                <c:pt idx="8">
                  <c:v>137.14285714285714</c:v>
                </c:pt>
                <c:pt idx="9">
                  <c:v>154.28571428571428</c:v>
                </c:pt>
                <c:pt idx="10">
                  <c:v>171.42857142857142</c:v>
                </c:pt>
                <c:pt idx="11">
                  <c:v>188.57142857142856</c:v>
                </c:pt>
                <c:pt idx="12">
                  <c:v>205.71428571428569</c:v>
                </c:pt>
                <c:pt idx="13">
                  <c:v>222.85714285714283</c:v>
                </c:pt>
                <c:pt idx="14">
                  <c:v>239.99999999999997</c:v>
                </c:pt>
              </c:numCache>
            </c:numRef>
          </c:cat>
          <c:val>
            <c:numRef>
              <c:f>'BLOCOS ALTERNADOS'!$L$37:$L$51</c:f>
              <c:numCache>
                <c:formatCode>0.00</c:formatCode>
                <c:ptCount val="15"/>
                <c:pt idx="0" formatCode="General">
                  <c:v>0</c:v>
                </c:pt>
                <c:pt idx="1">
                  <c:v>3.5903130071300495</c:v>
                </c:pt>
                <c:pt idx="2">
                  <c:v>4.3229041538072011</c:v>
                </c:pt>
                <c:pt idx="3">
                  <c:v>5.5418154210677955</c:v>
                </c:pt>
                <c:pt idx="4">
                  <c:v>8.037072918869498</c:v>
                </c:pt>
                <c:pt idx="5">
                  <c:v>16.485920287983177</c:v>
                </c:pt>
                <c:pt idx="6">
                  <c:v>40.765237584763916</c:v>
                </c:pt>
                <c:pt idx="7">
                  <c:v>10.668138054127787</c:v>
                </c:pt>
                <c:pt idx="8">
                  <c:v>6.5272230523068941</c:v>
                </c:pt>
                <c:pt idx="9">
                  <c:v>4.8445102654456633</c:v>
                </c:pt>
                <c:pt idx="10">
                  <c:v>3.9166290276594822</c:v>
                </c:pt>
                <c:pt idx="11">
                  <c:v>3.3218242325810081</c:v>
                </c:pt>
                <c:pt idx="12">
                  <c:v>3.0965858867005949</c:v>
                </c:pt>
                <c:pt idx="13">
                  <c:v>2.9045929894306823</c:v>
                </c:pt>
                <c:pt idx="14">
                  <c:v>2.7387419264573651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60-43A9-A297-E5BC9C664C10}"/>
            </c:ext>
          </c:extLst>
        </c:ser>
        <c:ser>
          <c:idx val="1"/>
          <c:order val="1"/>
          <c:tx>
            <c:v>Precipitção Efetiva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'BLOCOS ALTERNADOS'!$D$37:$D$51</c:f>
              <c:numCache>
                <c:formatCode>0</c:formatCode>
                <c:ptCount val="15"/>
                <c:pt idx="0">
                  <c:v>0</c:v>
                </c:pt>
                <c:pt idx="1">
                  <c:v>17.142857142857142</c:v>
                </c:pt>
                <c:pt idx="2">
                  <c:v>34.285714285714285</c:v>
                </c:pt>
                <c:pt idx="3">
                  <c:v>51.428571428571431</c:v>
                </c:pt>
                <c:pt idx="4">
                  <c:v>68.571428571428569</c:v>
                </c:pt>
                <c:pt idx="5">
                  <c:v>85.714285714285708</c:v>
                </c:pt>
                <c:pt idx="6">
                  <c:v>102.85714285714285</c:v>
                </c:pt>
                <c:pt idx="7">
                  <c:v>119.99999999999999</c:v>
                </c:pt>
                <c:pt idx="8">
                  <c:v>137.14285714285714</c:v>
                </c:pt>
                <c:pt idx="9">
                  <c:v>154.28571428571428</c:v>
                </c:pt>
                <c:pt idx="10">
                  <c:v>171.42857142857142</c:v>
                </c:pt>
                <c:pt idx="11">
                  <c:v>188.57142857142856</c:v>
                </c:pt>
                <c:pt idx="12">
                  <c:v>205.71428571428569</c:v>
                </c:pt>
                <c:pt idx="13">
                  <c:v>222.85714285714283</c:v>
                </c:pt>
                <c:pt idx="14">
                  <c:v>239.99999999999997</c:v>
                </c:pt>
              </c:numCache>
            </c:numRef>
          </c:cat>
          <c:val>
            <c:numRef>
              <c:f>'BLOCOS ALTERNADOS'!$Q$37:$Q$51</c:f>
              <c:numCache>
                <c:formatCode>0.0</c:formatCode>
                <c:ptCount val="15"/>
                <c:pt idx="0">
                  <c:v>0</c:v>
                </c:pt>
                <c:pt idx="1">
                  <c:v>1.6287580693645409</c:v>
                </c:pt>
                <c:pt idx="2">
                  <c:v>4.6942317363882031</c:v>
                </c:pt>
                <c:pt idx="3">
                  <c:v>4.2566724699507397</c:v>
                </c:pt>
                <c:pt idx="4">
                  <c:v>3.7144131200142638</c:v>
                </c:pt>
                <c:pt idx="5">
                  <c:v>3.293689326171549</c:v>
                </c:pt>
                <c:pt idx="6">
                  <c:v>2.9707614861919964</c:v>
                </c:pt>
                <c:pt idx="7">
                  <c:v>2.7167206009249867</c:v>
                </c:pt>
                <c:pt idx="8">
                  <c:v>2.5115721546197634</c:v>
                </c:pt>
                <c:pt idx="9">
                  <c:v>2.3420864195836018</c:v>
                </c:pt>
                <c:pt idx="10">
                  <c:v>2.1993606699782049</c:v>
                </c:pt>
                <c:pt idx="11">
                  <c:v>2.0772335106780737</c:v>
                </c:pt>
                <c:pt idx="12">
                  <c:v>1.9713179781446115</c:v>
                </c:pt>
                <c:pt idx="13">
                  <c:v>1.878408165658243</c:v>
                </c:pt>
                <c:pt idx="14">
                  <c:v>1.7961063792363987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560-43A9-A297-E5BC9C664C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12573103"/>
        <c:axId val="212574063"/>
      </c:barChart>
      <c:lineChart>
        <c:grouping val="standard"/>
        <c:varyColors val="0"/>
        <c:ser>
          <c:idx val="2"/>
          <c:order val="2"/>
          <c:tx>
            <c:v>Taxa de infiltração</c:v>
          </c:tx>
          <c:spPr>
            <a:ln w="19050" cap="rnd">
              <a:solidFill>
                <a:schemeClr val="accent3"/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'BLOCOS ALTERNADOS'!$S$37:$S$51</c:f>
              <c:numCache>
                <c:formatCode>0.0</c:formatCode>
                <c:ptCount val="15"/>
                <c:pt idx="0">
                  <c:v>0</c:v>
                </c:pt>
                <c:pt idx="1">
                  <c:v>136.97767830389782</c:v>
                </c:pt>
                <c:pt idx="2">
                  <c:v>41.270909930582405</c:v>
                </c:pt>
                <c:pt idx="3">
                  <c:v>22.440129544619658</c:v>
                </c:pt>
                <c:pt idx="4">
                  <c:v>15.129309295993327</c:v>
                </c:pt>
                <c:pt idx="5">
                  <c:v>11.317368041473713</c:v>
                </c:pt>
                <c:pt idx="6">
                  <c:v>8.9986887720652931</c:v>
                </c:pt>
                <c:pt idx="7">
                  <c:v>7.4472638258223718</c:v>
                </c:pt>
                <c:pt idx="8">
                  <c:v>6.3396619971560302</c:v>
                </c:pt>
                <c:pt idx="9">
                  <c:v>5.5108991282655841</c:v>
                </c:pt>
                <c:pt idx="10">
                  <c:v>4.868333180031458</c:v>
                </c:pt>
                <c:pt idx="11">
                  <c:v>4.356067526660266</c:v>
                </c:pt>
                <c:pt idx="12">
                  <c:v>3.9384376799459435</c:v>
                </c:pt>
                <c:pt idx="13">
                  <c:v>3.5916468832035395</c:v>
                </c:pt>
                <c:pt idx="14">
                  <c:v>3.2992244152733838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560-43A9-A297-E5BC9C664C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573103"/>
        <c:axId val="212574063"/>
      </c:lineChart>
      <c:catAx>
        <c:axId val="212573103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Tempo (min)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12574063"/>
        <c:crosses val="autoZero"/>
        <c:auto val="1"/>
        <c:lblAlgn val="ctr"/>
        <c:lblOffset val="100"/>
        <c:noMultiLvlLbl val="0"/>
      </c:catAx>
      <c:valAx>
        <c:axId val="2125740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Altura (mm) Taxa de inf. (mm/h)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12573103"/>
        <c:crosses val="autoZero"/>
        <c:crossBetween val="between"/>
      </c:valAx>
      <c:spPr>
        <a:noFill/>
        <a:ln>
          <a:solidFill>
            <a:sysClr val="windowText" lastClr="000000"/>
          </a:solidFill>
        </a:ln>
        <a:effectLst/>
      </c:spPr>
    </c:plotArea>
    <c:legend>
      <c:legendPos val="r"/>
      <c:layout>
        <c:manualLayout>
          <c:xMode val="edge"/>
          <c:yMode val="edge"/>
          <c:x val="0.48007356843679705"/>
          <c:y val="0.17545466309638755"/>
          <c:w val="0.46953779630135956"/>
          <c:h val="0.2430049199175783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 sz="1200">
          <a:solidFill>
            <a:sysClr val="windowText" lastClr="000000"/>
          </a:solidFill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pt-BR" b="1"/>
              <a:t>Perdas/</a:t>
            </a:r>
            <a:r>
              <a:rPr lang="pt-BR" b="1" baseline="0"/>
              <a:t>infiltração Duplo Anel</a:t>
            </a:r>
            <a:endParaRPr lang="pt-BR" b="1"/>
          </a:p>
        </c:rich>
      </c:tx>
      <c:layout>
        <c:manualLayout>
          <c:xMode val="edge"/>
          <c:yMode val="edge"/>
          <c:x val="0.2775982750659573"/>
          <c:y val="4.22267966892418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Precipitação Total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'BLOCOS ALTERNADOS'!$D$37:$D$51</c:f>
              <c:numCache>
                <c:formatCode>0</c:formatCode>
                <c:ptCount val="15"/>
                <c:pt idx="0">
                  <c:v>0</c:v>
                </c:pt>
                <c:pt idx="1">
                  <c:v>17.142857142857142</c:v>
                </c:pt>
                <c:pt idx="2">
                  <c:v>34.285714285714285</c:v>
                </c:pt>
                <c:pt idx="3">
                  <c:v>51.428571428571431</c:v>
                </c:pt>
                <c:pt idx="4">
                  <c:v>68.571428571428569</c:v>
                </c:pt>
                <c:pt idx="5">
                  <c:v>85.714285714285708</c:v>
                </c:pt>
                <c:pt idx="6">
                  <c:v>102.85714285714285</c:v>
                </c:pt>
                <c:pt idx="7">
                  <c:v>119.99999999999999</c:v>
                </c:pt>
                <c:pt idx="8">
                  <c:v>137.14285714285714</c:v>
                </c:pt>
                <c:pt idx="9">
                  <c:v>154.28571428571428</c:v>
                </c:pt>
                <c:pt idx="10">
                  <c:v>171.42857142857142</c:v>
                </c:pt>
                <c:pt idx="11">
                  <c:v>188.57142857142856</c:v>
                </c:pt>
                <c:pt idx="12">
                  <c:v>205.71428571428569</c:v>
                </c:pt>
                <c:pt idx="13">
                  <c:v>222.85714285714283</c:v>
                </c:pt>
                <c:pt idx="14">
                  <c:v>239.99999999999997</c:v>
                </c:pt>
              </c:numCache>
            </c:numRef>
          </c:cat>
          <c:val>
            <c:numRef>
              <c:f>'BLOCOS ALTERNADOS'!$L$37:$L$51</c:f>
              <c:numCache>
                <c:formatCode>0.00</c:formatCode>
                <c:ptCount val="15"/>
                <c:pt idx="0" formatCode="General">
                  <c:v>0</c:v>
                </c:pt>
                <c:pt idx="1">
                  <c:v>3.5903130071300495</c:v>
                </c:pt>
                <c:pt idx="2">
                  <c:v>4.3229041538072011</c:v>
                </c:pt>
                <c:pt idx="3">
                  <c:v>5.5418154210677955</c:v>
                </c:pt>
                <c:pt idx="4">
                  <c:v>8.037072918869498</c:v>
                </c:pt>
                <c:pt idx="5">
                  <c:v>16.485920287983177</c:v>
                </c:pt>
                <c:pt idx="6">
                  <c:v>40.765237584763916</c:v>
                </c:pt>
                <c:pt idx="7">
                  <c:v>10.668138054127787</c:v>
                </c:pt>
                <c:pt idx="8">
                  <c:v>6.5272230523068941</c:v>
                </c:pt>
                <c:pt idx="9">
                  <c:v>4.8445102654456633</c:v>
                </c:pt>
                <c:pt idx="10">
                  <c:v>3.9166290276594822</c:v>
                </c:pt>
                <c:pt idx="11">
                  <c:v>3.3218242325810081</c:v>
                </c:pt>
                <c:pt idx="12">
                  <c:v>3.0965858867005949</c:v>
                </c:pt>
                <c:pt idx="13">
                  <c:v>2.9045929894306823</c:v>
                </c:pt>
                <c:pt idx="14">
                  <c:v>2.7387419264573651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6F-43A5-8257-8B26DC75CE51}"/>
            </c:ext>
          </c:extLst>
        </c:ser>
        <c:ser>
          <c:idx val="1"/>
          <c:order val="1"/>
          <c:tx>
            <c:v>Precipitação Efetiva</c:v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numRef>
              <c:f>'BLOCOS ALTERNADOS'!$D$37:$D$51</c:f>
              <c:numCache>
                <c:formatCode>0</c:formatCode>
                <c:ptCount val="15"/>
                <c:pt idx="0">
                  <c:v>0</c:v>
                </c:pt>
                <c:pt idx="1">
                  <c:v>17.142857142857142</c:v>
                </c:pt>
                <c:pt idx="2">
                  <c:v>34.285714285714285</c:v>
                </c:pt>
                <c:pt idx="3">
                  <c:v>51.428571428571431</c:v>
                </c:pt>
                <c:pt idx="4">
                  <c:v>68.571428571428569</c:v>
                </c:pt>
                <c:pt idx="5">
                  <c:v>85.714285714285708</c:v>
                </c:pt>
                <c:pt idx="6">
                  <c:v>102.85714285714285</c:v>
                </c:pt>
                <c:pt idx="7">
                  <c:v>119.99999999999999</c:v>
                </c:pt>
                <c:pt idx="8">
                  <c:v>137.14285714285714</c:v>
                </c:pt>
                <c:pt idx="9">
                  <c:v>154.28571428571428</c:v>
                </c:pt>
                <c:pt idx="10">
                  <c:v>171.42857142857142</c:v>
                </c:pt>
                <c:pt idx="11">
                  <c:v>188.57142857142856</c:v>
                </c:pt>
                <c:pt idx="12">
                  <c:v>205.71428571428569</c:v>
                </c:pt>
                <c:pt idx="13">
                  <c:v>222.85714285714283</c:v>
                </c:pt>
                <c:pt idx="14">
                  <c:v>239.99999999999997</c:v>
                </c:pt>
              </c:numCache>
            </c:numRef>
          </c:cat>
          <c:val>
            <c:numRef>
              <c:f>'BLOCOS ALTERNADOS'!$O$37:$O$51</c:f>
              <c:numCache>
                <c:formatCode>0.00</c:formatCode>
                <c:ptCount val="15"/>
                <c:pt idx="0" formatCode="General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5.605920287983178</c:v>
                </c:pt>
                <c:pt idx="6">
                  <c:v>29.885237584763917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36F-43A5-8257-8B26DC75CE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12573103"/>
        <c:axId val="212574063"/>
      </c:barChart>
      <c:lineChart>
        <c:grouping val="standard"/>
        <c:varyColors val="0"/>
        <c:ser>
          <c:idx val="2"/>
          <c:order val="2"/>
          <c:tx>
            <c:v>Taxa de infiltração</c:v>
          </c:tx>
          <c:spPr>
            <a:ln w="19050" cap="rnd">
              <a:solidFill>
                <a:schemeClr val="accent3"/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'BLOCOS ALTERNADOS'!$M$37:$M$51</c:f>
              <c:numCache>
                <c:formatCode>0.00</c:formatCode>
                <c:ptCount val="15"/>
                <c:pt idx="0" formatCode="General">
                  <c:v>0</c:v>
                </c:pt>
                <c:pt idx="1">
                  <c:v>12.566095524955173</c:v>
                </c:pt>
                <c:pt idx="2">
                  <c:v>15.130164538325204</c:v>
                </c:pt>
                <c:pt idx="3">
                  <c:v>19.396353973737284</c:v>
                </c:pt>
                <c:pt idx="4">
                  <c:v>28.129755216043243</c:v>
                </c:pt>
                <c:pt idx="5">
                  <c:v>38.08</c:v>
                </c:pt>
                <c:pt idx="6">
                  <c:v>38.08</c:v>
                </c:pt>
                <c:pt idx="7">
                  <c:v>37.33848318944726</c:v>
                </c:pt>
                <c:pt idx="8">
                  <c:v>22.84528068307413</c:v>
                </c:pt>
                <c:pt idx="9">
                  <c:v>16.955785929059822</c:v>
                </c:pt>
                <c:pt idx="10">
                  <c:v>13.708201596808188</c:v>
                </c:pt>
                <c:pt idx="11">
                  <c:v>11.626384814033528</c:v>
                </c:pt>
                <c:pt idx="12">
                  <c:v>10.838050603452082</c:v>
                </c:pt>
                <c:pt idx="13">
                  <c:v>10.166075463007388</c:v>
                </c:pt>
                <c:pt idx="14">
                  <c:v>9.585596742600778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631-4C0E-9AB7-1013BDBE4F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573103"/>
        <c:axId val="212574063"/>
      </c:lineChart>
      <c:catAx>
        <c:axId val="212573103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Tempo (min)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12574063"/>
        <c:crosses val="autoZero"/>
        <c:auto val="1"/>
        <c:lblAlgn val="ctr"/>
        <c:lblOffset val="100"/>
        <c:noMultiLvlLbl val="0"/>
      </c:catAx>
      <c:valAx>
        <c:axId val="2125740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Altura (mm) Taxa de inf. (mm/h)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12573103"/>
        <c:crosses val="autoZero"/>
        <c:crossBetween val="between"/>
      </c:valAx>
      <c:spPr>
        <a:noFill/>
        <a:ln>
          <a:solidFill>
            <a:sysClr val="windowText" lastClr="000000"/>
          </a:solidFill>
        </a:ln>
        <a:effectLst/>
      </c:spPr>
    </c:plotArea>
    <c:legend>
      <c:legendPos val="r"/>
      <c:layout>
        <c:manualLayout>
          <c:xMode val="edge"/>
          <c:yMode val="edge"/>
          <c:x val="0.59317879343511126"/>
          <c:y val="0.18335589643536168"/>
          <c:w val="0.36136914019397937"/>
          <c:h val="0.2430049199175783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 sz="1200">
          <a:solidFill>
            <a:sysClr val="windowText" lastClr="000000"/>
          </a:solidFill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154214</xdr:colOff>
      <xdr:row>15</xdr:row>
      <xdr:rowOff>9073</xdr:rowOff>
    </xdr:from>
    <xdr:to>
      <xdr:col>28</xdr:col>
      <xdr:colOff>797831</xdr:colOff>
      <xdr:row>29</xdr:row>
      <xdr:rowOff>136073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7E20383F-9A01-4D0C-9352-38B522FF1C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800161</xdr:colOff>
      <xdr:row>15</xdr:row>
      <xdr:rowOff>13327</xdr:rowOff>
    </xdr:from>
    <xdr:to>
      <xdr:col>21</xdr:col>
      <xdr:colOff>63500</xdr:colOff>
      <xdr:row>29</xdr:row>
      <xdr:rowOff>145144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F525C2B9-E864-469C-9D5A-06A9B2ED30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118295</xdr:colOff>
      <xdr:row>14</xdr:row>
      <xdr:rowOff>186978</xdr:rowOff>
    </xdr:from>
    <xdr:to>
      <xdr:col>14</xdr:col>
      <xdr:colOff>689420</xdr:colOff>
      <xdr:row>29</xdr:row>
      <xdr:rowOff>136076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68B2D2D8-3D51-C29D-A843-22ADB199E53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</xdr:row>
      <xdr:rowOff>0</xdr:rowOff>
    </xdr:from>
    <xdr:to>
      <xdr:col>9</xdr:col>
      <xdr:colOff>134049</xdr:colOff>
      <xdr:row>24</xdr:row>
      <xdr:rowOff>29111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D510665A-7466-49E9-AE55-E0F93CCD22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3810000"/>
          <a:ext cx="5010849" cy="3839111"/>
        </a:xfrm>
        <a:prstGeom prst="rect">
          <a:avLst/>
        </a:prstGeom>
      </xdr:spPr>
    </xdr:pic>
    <xdr:clientData/>
  </xdr:twoCellAnchor>
  <xdr:twoCellAnchor editAs="oneCell">
    <xdr:from>
      <xdr:col>11</xdr:col>
      <xdr:colOff>104775</xdr:colOff>
      <xdr:row>16</xdr:row>
      <xdr:rowOff>85725</xdr:rowOff>
    </xdr:from>
    <xdr:to>
      <xdr:col>22</xdr:col>
      <xdr:colOff>553448</xdr:colOff>
      <xdr:row>26</xdr:row>
      <xdr:rowOff>66938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75B997C5-5AEA-4CF5-6F80-5396354329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810375" y="3152775"/>
          <a:ext cx="7154273" cy="1886213"/>
        </a:xfrm>
        <a:prstGeom prst="rect">
          <a:avLst/>
        </a:prstGeom>
      </xdr:spPr>
    </xdr:pic>
    <xdr:clientData/>
  </xdr:twoCellAnchor>
  <xdr:twoCellAnchor editAs="oneCell">
    <xdr:from>
      <xdr:col>11</xdr:col>
      <xdr:colOff>123825</xdr:colOff>
      <xdr:row>4</xdr:row>
      <xdr:rowOff>28575</xdr:rowOff>
    </xdr:from>
    <xdr:to>
      <xdr:col>18</xdr:col>
      <xdr:colOff>438789</xdr:colOff>
      <xdr:row>15</xdr:row>
      <xdr:rowOff>19341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A566B418-B287-1C47-E75F-EB1BEB6239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829425" y="3838575"/>
          <a:ext cx="4582164" cy="2086266"/>
        </a:xfrm>
        <a:prstGeom prst="rect">
          <a:avLst/>
        </a:prstGeom>
      </xdr:spPr>
    </xdr:pic>
    <xdr:clientData/>
  </xdr:twoCellAnchor>
  <xdr:twoCellAnchor editAs="oneCell">
    <xdr:from>
      <xdr:col>1</xdr:col>
      <xdr:colOff>28575</xdr:colOff>
      <xdr:row>28</xdr:row>
      <xdr:rowOff>114300</xdr:rowOff>
    </xdr:from>
    <xdr:to>
      <xdr:col>8</xdr:col>
      <xdr:colOff>419750</xdr:colOff>
      <xdr:row>55</xdr:row>
      <xdr:rowOff>48334</xdr:rowOff>
    </xdr:to>
    <xdr:pic>
      <xdr:nvPicPr>
        <xdr:cNvPr id="8" name="Imagem 7">
          <a:extLst>
            <a:ext uri="{FF2B5EF4-FFF2-40B4-BE49-F238E27FC236}">
              <a16:creationId xmlns:a16="http://schemas.microsoft.com/office/drawing/2014/main" id="{7C6619A2-EA8C-3FFB-E4E0-80F78C66E9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38175" y="5467350"/>
          <a:ext cx="4658375" cy="5077534"/>
        </a:xfrm>
        <a:prstGeom prst="rect">
          <a:avLst/>
        </a:prstGeom>
      </xdr:spPr>
    </xdr:pic>
    <xdr:clientData/>
  </xdr:twoCellAnchor>
  <xdr:twoCellAnchor editAs="oneCell">
    <xdr:from>
      <xdr:col>1</xdr:col>
      <xdr:colOff>28575</xdr:colOff>
      <xdr:row>55</xdr:row>
      <xdr:rowOff>9525</xdr:rowOff>
    </xdr:from>
    <xdr:to>
      <xdr:col>8</xdr:col>
      <xdr:colOff>400697</xdr:colOff>
      <xdr:row>70</xdr:row>
      <xdr:rowOff>171871</xdr:rowOff>
    </xdr:to>
    <xdr:pic>
      <xdr:nvPicPr>
        <xdr:cNvPr id="10" name="Imagem 9">
          <a:extLst>
            <a:ext uri="{FF2B5EF4-FFF2-40B4-BE49-F238E27FC236}">
              <a16:creationId xmlns:a16="http://schemas.microsoft.com/office/drawing/2014/main" id="{4B906983-3E23-6A5E-7966-0F7246D892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638175" y="10506075"/>
          <a:ext cx="4639322" cy="3019846"/>
        </a:xfrm>
        <a:prstGeom prst="rect">
          <a:avLst/>
        </a:prstGeom>
      </xdr:spPr>
    </xdr:pic>
    <xdr:clientData/>
  </xdr:twoCellAnchor>
  <xdr:twoCellAnchor editAs="oneCell">
    <xdr:from>
      <xdr:col>1</xdr:col>
      <xdr:colOff>47625</xdr:colOff>
      <xdr:row>71</xdr:row>
      <xdr:rowOff>47625</xdr:rowOff>
    </xdr:from>
    <xdr:to>
      <xdr:col>9</xdr:col>
      <xdr:colOff>400780</xdr:colOff>
      <xdr:row>77</xdr:row>
      <xdr:rowOff>153</xdr:rowOff>
    </xdr:to>
    <xdr:pic>
      <xdr:nvPicPr>
        <xdr:cNvPr id="11" name="Imagem 10">
          <a:extLst>
            <a:ext uri="{FF2B5EF4-FFF2-40B4-BE49-F238E27FC236}">
              <a16:creationId xmlns:a16="http://schemas.microsoft.com/office/drawing/2014/main" id="{0FA491CF-C073-7478-F511-0CC94D6591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657225" y="13592175"/>
          <a:ext cx="5229955" cy="10955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s://www.hec.usace.army.mil/confluence/rasdocs/rasum/lates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S1021"/>
  <sheetViews>
    <sheetView tabSelected="1" zoomScale="105" zoomScaleNormal="95" workbookViewId="0">
      <selection activeCell="L6" sqref="L6"/>
    </sheetView>
  </sheetViews>
  <sheetFormatPr defaultColWidth="14.42578125" defaultRowHeight="15" customHeight="1" x14ac:dyDescent="0.25"/>
  <cols>
    <col min="1" max="1" width="4" customWidth="1"/>
    <col min="2" max="2" width="13.7109375" customWidth="1"/>
    <col min="3" max="3" width="30" customWidth="1"/>
    <col min="4" max="4" width="8.7109375" customWidth="1"/>
    <col min="5" max="5" width="15" customWidth="1"/>
    <col min="6" max="6" width="11.85546875" customWidth="1"/>
    <col min="7" max="7" width="8" customWidth="1"/>
    <col min="8" max="8" width="10" customWidth="1"/>
    <col min="9" max="9" width="9" customWidth="1"/>
    <col min="10" max="10" width="8.7109375" customWidth="1"/>
    <col min="11" max="11" width="8.85546875" customWidth="1"/>
    <col min="12" max="12" width="17.140625" customWidth="1"/>
    <col min="13" max="13" width="11.42578125" customWidth="1"/>
    <col min="14" max="15" width="13.5703125" customWidth="1"/>
    <col min="16" max="16" width="12.5703125" customWidth="1"/>
    <col min="17" max="17" width="10.85546875" customWidth="1"/>
    <col min="18" max="18" width="10.28515625" customWidth="1"/>
    <col min="19" max="19" width="11.5703125" customWidth="1"/>
    <col min="20" max="27" width="8.7109375" customWidth="1"/>
  </cols>
  <sheetData>
    <row r="1" spans="2:11" ht="12.75" customHeight="1" x14ac:dyDescent="0.25"/>
    <row r="2" spans="2:11" ht="14.25" customHeight="1" thickBot="1" x14ac:dyDescent="0.3">
      <c r="B2" s="12"/>
      <c r="C2" s="12"/>
      <c r="D2" s="12"/>
      <c r="E2" s="12"/>
      <c r="F2" s="12"/>
      <c r="G2" s="12"/>
      <c r="H2" s="12"/>
    </row>
    <row r="3" spans="2:11" ht="16.5" customHeight="1" thickBot="1" x14ac:dyDescent="0.3">
      <c r="B3" s="141" t="s">
        <v>35</v>
      </c>
      <c r="C3" s="142"/>
      <c r="D3" s="12"/>
      <c r="F3" s="12"/>
      <c r="H3" s="12"/>
      <c r="K3" s="12" t="s">
        <v>81</v>
      </c>
    </row>
    <row r="4" spans="2:11" ht="15" customHeight="1" thickBot="1" x14ac:dyDescent="0.3">
      <c r="B4" s="12"/>
      <c r="C4" s="12"/>
      <c r="D4" s="12"/>
      <c r="E4" s="12"/>
      <c r="F4" s="12"/>
      <c r="H4" s="12"/>
    </row>
    <row r="5" spans="2:11" ht="15" customHeight="1" x14ac:dyDescent="0.25">
      <c r="B5" s="13" t="s">
        <v>36</v>
      </c>
      <c r="C5" s="14"/>
      <c r="D5" s="15"/>
      <c r="E5" s="12"/>
      <c r="F5" s="12"/>
      <c r="H5" s="12"/>
    </row>
    <row r="6" spans="2:11" ht="15" customHeight="1" x14ac:dyDescent="0.25">
      <c r="B6" s="16" t="s">
        <v>37</v>
      </c>
      <c r="C6" s="17"/>
      <c r="D6" s="18"/>
      <c r="E6" s="12"/>
      <c r="F6" s="12"/>
      <c r="H6" s="12"/>
    </row>
    <row r="7" spans="2:11" ht="15" customHeight="1" x14ac:dyDescent="0.25">
      <c r="B7" s="16" t="s">
        <v>39</v>
      </c>
      <c r="C7" s="17"/>
      <c r="D7" s="18"/>
      <c r="E7" s="12"/>
      <c r="F7" s="12"/>
      <c r="H7" s="12"/>
    </row>
    <row r="8" spans="2:11" ht="15" customHeight="1" x14ac:dyDescent="0.25">
      <c r="B8" s="16" t="s">
        <v>38</v>
      </c>
      <c r="C8" s="17"/>
      <c r="D8" s="18"/>
      <c r="E8" s="12"/>
      <c r="H8" s="12"/>
    </row>
    <row r="9" spans="2:11" ht="15" customHeight="1" thickBot="1" x14ac:dyDescent="0.3">
      <c r="B9" s="19" t="s">
        <v>66</v>
      </c>
      <c r="C9" s="20"/>
      <c r="D9" s="21"/>
      <c r="E9" s="12"/>
      <c r="F9" s="12"/>
      <c r="H9" s="12"/>
    </row>
    <row r="10" spans="2:11" ht="15" customHeight="1" thickBot="1" x14ac:dyDescent="0.3">
      <c r="B10" s="17"/>
      <c r="C10" s="17"/>
      <c r="D10" s="17"/>
      <c r="E10" s="12"/>
      <c r="F10" s="12"/>
      <c r="H10" s="12"/>
    </row>
    <row r="11" spans="2:11" ht="15" customHeight="1" x14ac:dyDescent="0.25">
      <c r="B11" s="23" t="s">
        <v>42</v>
      </c>
      <c r="C11" s="14"/>
      <c r="D11" s="14"/>
      <c r="E11" s="15"/>
      <c r="F11" s="12"/>
      <c r="H11" s="12"/>
    </row>
    <row r="12" spans="2:11" ht="15" customHeight="1" thickBot="1" x14ac:dyDescent="0.3">
      <c r="B12" s="22" t="s">
        <v>43</v>
      </c>
      <c r="C12" s="20"/>
      <c r="D12" s="20"/>
      <c r="E12" s="21"/>
      <c r="F12" s="12"/>
      <c r="H12" s="12"/>
    </row>
    <row r="13" spans="2:11" ht="15" customHeight="1" thickBot="1" x14ac:dyDescent="0.3">
      <c r="B13" s="12"/>
      <c r="C13" s="12"/>
      <c r="D13" s="12"/>
      <c r="E13" s="12"/>
      <c r="F13" s="12"/>
      <c r="G13" s="12"/>
      <c r="H13" s="12"/>
    </row>
    <row r="14" spans="2:11" ht="15" customHeight="1" thickBot="1" x14ac:dyDescent="0.3">
      <c r="B14" s="121" t="s">
        <v>40</v>
      </c>
      <c r="C14" s="120" t="s">
        <v>41</v>
      </c>
      <c r="D14" s="12"/>
      <c r="E14" s="12"/>
      <c r="F14" s="12"/>
      <c r="G14" s="12"/>
      <c r="H14" s="12"/>
    </row>
    <row r="15" spans="2:11" ht="15" customHeight="1" thickBot="1" x14ac:dyDescent="0.3"/>
    <row r="16" spans="2:11" ht="15" customHeight="1" thickBot="1" x14ac:dyDescent="0.3">
      <c r="B16" s="116"/>
      <c r="C16" s="117" t="s">
        <v>29</v>
      </c>
      <c r="D16" s="118" t="s">
        <v>31</v>
      </c>
      <c r="E16" s="119" t="s">
        <v>30</v>
      </c>
      <c r="G16" s="139" t="s">
        <v>63</v>
      </c>
      <c r="H16" s="140"/>
    </row>
    <row r="17" spans="2:8" ht="15" customHeight="1" thickBot="1" x14ac:dyDescent="0.3">
      <c r="B17" s="135" t="s">
        <v>26</v>
      </c>
      <c r="C17" s="127" t="s">
        <v>23</v>
      </c>
      <c r="D17" s="28"/>
      <c r="E17" s="122">
        <v>67</v>
      </c>
      <c r="G17" s="143" t="s">
        <v>67</v>
      </c>
      <c r="H17" s="144"/>
    </row>
    <row r="18" spans="2:8" ht="15" customHeight="1" x14ac:dyDescent="0.25">
      <c r="B18" s="136"/>
      <c r="C18" s="91" t="s">
        <v>24</v>
      </c>
      <c r="D18" s="9" t="s">
        <v>5</v>
      </c>
      <c r="E18" s="38">
        <f>25900/E17-259</f>
        <v>127.56716417910445</v>
      </c>
      <c r="G18" s="96" t="s">
        <v>59</v>
      </c>
      <c r="H18" s="124">
        <v>645.20399999999995</v>
      </c>
    </row>
    <row r="19" spans="2:8" ht="14.25" customHeight="1" thickBot="1" x14ac:dyDescent="0.3">
      <c r="B19" s="136"/>
      <c r="C19" s="91" t="s">
        <v>25</v>
      </c>
      <c r="D19" s="9" t="s">
        <v>5</v>
      </c>
      <c r="E19" s="39">
        <f>0.2*E18</f>
        <v>25.513432835820893</v>
      </c>
      <c r="G19" s="97" t="s">
        <v>60</v>
      </c>
      <c r="H19" s="125">
        <v>0.17499999999999999</v>
      </c>
    </row>
    <row r="20" spans="2:8" ht="14.25" customHeight="1" thickBot="1" x14ac:dyDescent="0.3">
      <c r="B20" s="93" t="s">
        <v>32</v>
      </c>
      <c r="C20" s="128" t="s">
        <v>33</v>
      </c>
      <c r="D20" s="130" t="s">
        <v>0</v>
      </c>
      <c r="E20" s="123">
        <v>38.08</v>
      </c>
      <c r="G20" s="97" t="s">
        <v>61</v>
      </c>
      <c r="H20" s="125">
        <v>9.2799999999999994</v>
      </c>
    </row>
    <row r="21" spans="2:8" ht="14.25" customHeight="1" thickBot="1" x14ac:dyDescent="0.3">
      <c r="B21" s="137" t="s">
        <v>34</v>
      </c>
      <c r="C21" s="129" t="s">
        <v>44</v>
      </c>
      <c r="D21" s="130" t="s">
        <v>11</v>
      </c>
      <c r="E21" s="123">
        <v>4</v>
      </c>
      <c r="G21" s="98" t="s">
        <v>62</v>
      </c>
      <c r="H21" s="126">
        <v>0.70699999999999996</v>
      </c>
    </row>
    <row r="22" spans="2:8" ht="14.25" customHeight="1" x14ac:dyDescent="0.25">
      <c r="B22" s="137"/>
      <c r="C22" s="92" t="s">
        <v>46</v>
      </c>
      <c r="D22" s="24" t="s">
        <v>1</v>
      </c>
      <c r="E22" s="40">
        <f>E21*60/14</f>
        <v>17.142857142857142</v>
      </c>
    </row>
    <row r="23" spans="2:8" ht="14.25" customHeight="1" x14ac:dyDescent="0.25">
      <c r="B23" s="137"/>
      <c r="C23" s="92" t="s">
        <v>47</v>
      </c>
      <c r="D23" s="9" t="s">
        <v>1</v>
      </c>
      <c r="E23" s="34">
        <f>E22*14</f>
        <v>240</v>
      </c>
    </row>
    <row r="24" spans="2:8" ht="14.25" customHeight="1" thickBot="1" x14ac:dyDescent="0.3">
      <c r="B24" s="137"/>
      <c r="C24" s="92" t="s">
        <v>48</v>
      </c>
      <c r="D24" s="24" t="s">
        <v>0</v>
      </c>
      <c r="E24" s="41">
        <f>((645.204)*(E26)/E27)</f>
        <v>142.6781104102418</v>
      </c>
    </row>
    <row r="25" spans="2:8" ht="14.25" customHeight="1" thickBot="1" x14ac:dyDescent="0.3">
      <c r="B25" s="137"/>
      <c r="C25" s="128" t="s">
        <v>49</v>
      </c>
      <c r="D25" s="130" t="s">
        <v>2</v>
      </c>
      <c r="E25" s="123">
        <v>100</v>
      </c>
    </row>
    <row r="26" spans="2:8" ht="14.25" customHeight="1" x14ac:dyDescent="0.25">
      <c r="B26" s="137"/>
      <c r="C26" s="92" t="s">
        <v>64</v>
      </c>
      <c r="D26" s="9"/>
      <c r="E26" s="42">
        <f>E25^H19</f>
        <v>2.2387211385683394</v>
      </c>
      <c r="F26" s="95"/>
    </row>
    <row r="27" spans="2:8" ht="14.25" customHeight="1" thickBot="1" x14ac:dyDescent="0.3">
      <c r="B27" s="138"/>
      <c r="C27" s="94" t="s">
        <v>65</v>
      </c>
      <c r="D27" s="35"/>
      <c r="E27" s="36">
        <f>(E22+H20)^H21</f>
        <v>10.123710142611769</v>
      </c>
      <c r="F27" s="95"/>
    </row>
    <row r="28" spans="2:8" ht="14.25" customHeight="1" thickBot="1" x14ac:dyDescent="0.3"/>
    <row r="29" spans="2:8" ht="14.25" customHeight="1" x14ac:dyDescent="0.25">
      <c r="C29" s="26"/>
      <c r="D29" s="10"/>
      <c r="E29" s="114" t="s">
        <v>34</v>
      </c>
      <c r="F29" s="147" t="s">
        <v>45</v>
      </c>
      <c r="G29" s="148"/>
    </row>
    <row r="30" spans="2:8" ht="14.25" customHeight="1" thickBot="1" x14ac:dyDescent="0.3">
      <c r="C30" s="31"/>
      <c r="D30" s="11"/>
      <c r="E30" s="110" t="s">
        <v>3</v>
      </c>
      <c r="F30" s="111" t="s">
        <v>32</v>
      </c>
      <c r="G30" s="99" t="s">
        <v>26</v>
      </c>
    </row>
    <row r="31" spans="2:8" ht="14.25" customHeight="1" x14ac:dyDescent="0.25">
      <c r="C31" s="112" t="s">
        <v>27</v>
      </c>
      <c r="D31" s="113" t="s">
        <v>0</v>
      </c>
      <c r="E31" s="131">
        <f>MAX(K37:K210)</f>
        <v>142.67833154667372</v>
      </c>
      <c r="F31" s="29"/>
      <c r="G31" s="30"/>
      <c r="H31" s="2"/>
    </row>
    <row r="32" spans="2:8" ht="14.25" customHeight="1" x14ac:dyDescent="0.25">
      <c r="C32" s="43" t="s">
        <v>28</v>
      </c>
      <c r="D32" s="33" t="s">
        <v>0</v>
      </c>
      <c r="E32" s="25"/>
      <c r="F32" s="105">
        <f>MAX(M37:M51)</f>
        <v>38.08</v>
      </c>
      <c r="G32" s="27">
        <f>MAX(S37:S245)</f>
        <v>136.97767830389782</v>
      </c>
      <c r="H32" s="2"/>
    </row>
    <row r="33" spans="3:19" ht="14.25" customHeight="1" thickBot="1" x14ac:dyDescent="0.3">
      <c r="C33" s="44" t="s">
        <v>4</v>
      </c>
      <c r="D33" s="45" t="s">
        <v>5</v>
      </c>
      <c r="E33" s="32">
        <f>SUM(L37:L51)</f>
        <v>116.7615088083311</v>
      </c>
      <c r="F33" s="109">
        <f>SUM(O37:O51)</f>
        <v>35.491157872747095</v>
      </c>
      <c r="G33" s="100">
        <f>MAX(P37:P51)</f>
        <v>38.051332086905177</v>
      </c>
    </row>
    <row r="34" spans="3:19" ht="14.25" customHeight="1" thickBot="1" x14ac:dyDescent="0.3">
      <c r="L34" s="77"/>
      <c r="M34" s="8"/>
    </row>
    <row r="35" spans="3:19" ht="14.25" customHeight="1" thickBot="1" x14ac:dyDescent="0.3">
      <c r="K35" s="50"/>
      <c r="L35" s="115" t="s">
        <v>50</v>
      </c>
      <c r="M35" s="145" t="s">
        <v>54</v>
      </c>
      <c r="N35" s="145"/>
      <c r="O35" s="146"/>
      <c r="P35" s="132" t="s">
        <v>53</v>
      </c>
      <c r="Q35" s="133"/>
      <c r="R35" s="133"/>
      <c r="S35" s="134"/>
    </row>
    <row r="36" spans="3:19" ht="28.5" customHeight="1" x14ac:dyDescent="0.25">
      <c r="C36" s="74" t="s">
        <v>6</v>
      </c>
      <c r="D36" s="71" t="s">
        <v>14</v>
      </c>
      <c r="E36" s="62" t="s">
        <v>13</v>
      </c>
      <c r="F36" s="62" t="s">
        <v>15</v>
      </c>
      <c r="G36" s="62" t="s">
        <v>16</v>
      </c>
      <c r="H36" s="62" t="s">
        <v>17</v>
      </c>
      <c r="I36" s="62" t="s">
        <v>18</v>
      </c>
      <c r="J36" s="63" t="s">
        <v>7</v>
      </c>
      <c r="K36" s="64" t="s">
        <v>19</v>
      </c>
      <c r="L36" s="51" t="s">
        <v>20</v>
      </c>
      <c r="M36" s="46" t="s">
        <v>12</v>
      </c>
      <c r="N36" s="58" t="s">
        <v>21</v>
      </c>
      <c r="O36" s="86" t="s">
        <v>22</v>
      </c>
      <c r="P36" s="78" t="s">
        <v>22</v>
      </c>
      <c r="Q36" s="61" t="s">
        <v>51</v>
      </c>
      <c r="R36" s="85" t="s">
        <v>52</v>
      </c>
      <c r="S36" s="55" t="s">
        <v>12</v>
      </c>
    </row>
    <row r="37" spans="3:19" ht="14.25" customHeight="1" x14ac:dyDescent="0.25">
      <c r="C37" s="75">
        <f t="shared" ref="C37:C51" si="0">D37/60</f>
        <v>0</v>
      </c>
      <c r="D37" s="72">
        <v>0</v>
      </c>
      <c r="E37" s="4">
        <v>0</v>
      </c>
      <c r="F37" s="5">
        <f t="shared" ref="F37:F51" si="1">D37/60</f>
        <v>0</v>
      </c>
      <c r="G37" s="3">
        <v>0</v>
      </c>
      <c r="H37" s="3"/>
      <c r="I37" s="3"/>
      <c r="J37" s="3"/>
      <c r="K37" s="65">
        <v>0</v>
      </c>
      <c r="L37" s="52">
        <v>0</v>
      </c>
      <c r="M37" s="47">
        <v>0</v>
      </c>
      <c r="N37" s="37">
        <v>0</v>
      </c>
      <c r="O37" s="87">
        <v>0</v>
      </c>
      <c r="P37" s="79">
        <f t="shared" ref="P37:P51" si="2">IF(G37&lt;=$E$19,0,(G37-$E$19)^2/(G37-$E$19+$E$18))</f>
        <v>0</v>
      </c>
      <c r="Q37" s="81">
        <v>0</v>
      </c>
      <c r="R37" s="83">
        <f t="shared" ref="R37:R51" si="3">H37-Q37</f>
        <v>0</v>
      </c>
      <c r="S37" s="56">
        <v>0</v>
      </c>
    </row>
    <row r="38" spans="3:19" ht="14.25" customHeight="1" x14ac:dyDescent="0.25">
      <c r="C38" s="75">
        <f t="shared" si="0"/>
        <v>0.2857142857142857</v>
      </c>
      <c r="D38" s="72">
        <f t="shared" ref="D38:D51" si="4">D37+$E$22</f>
        <v>17.142857142857142</v>
      </c>
      <c r="E38" s="4">
        <f t="shared" ref="E38:E51" si="5">645.205*$E$25^0.175/(D38+9.28)^0.707</f>
        <v>142.67833154667372</v>
      </c>
      <c r="F38" s="5">
        <f t="shared" si="1"/>
        <v>0.2857142857142857</v>
      </c>
      <c r="G38" s="5">
        <f t="shared" ref="G38:G51" si="6">E38*F38</f>
        <v>40.765237584763916</v>
      </c>
      <c r="H38" s="5">
        <f t="shared" ref="H38:H51" si="7">G38-G37</f>
        <v>40.765237584763916</v>
      </c>
      <c r="I38" s="5">
        <f t="shared" ref="I38:I51" si="8">H38/($E$22/60)</f>
        <v>142.67833154667372</v>
      </c>
      <c r="J38" s="3">
        <v>10</v>
      </c>
      <c r="K38" s="66">
        <f t="shared" ref="K38:K51" si="9">LARGE($I$38:$I$250,J38)</f>
        <v>12.566095524955173</v>
      </c>
      <c r="L38" s="53">
        <f t="shared" ref="L38:L51" si="10">K38*($E$22/60)</f>
        <v>3.5903130071300495</v>
      </c>
      <c r="M38" s="48">
        <f t="shared" ref="M38:M51" si="11">MIN($E$20,K38)</f>
        <v>12.566095524955173</v>
      </c>
      <c r="N38" s="59">
        <f t="shared" ref="N38:N51" si="12">K38-M38</f>
        <v>0</v>
      </c>
      <c r="O38" s="88">
        <f t="shared" ref="O38:O51" si="13">N38*$E$22/60</f>
        <v>0</v>
      </c>
      <c r="P38" s="79">
        <f t="shared" si="2"/>
        <v>1.6287580693645409</v>
      </c>
      <c r="Q38" s="81">
        <f>P38-P37</f>
        <v>1.6287580693645409</v>
      </c>
      <c r="R38" s="83">
        <f t="shared" si="3"/>
        <v>39.136479515399373</v>
      </c>
      <c r="S38" s="56">
        <f>R38/(C38-C37)</f>
        <v>136.97767830389782</v>
      </c>
    </row>
    <row r="39" spans="3:19" ht="14.25" customHeight="1" x14ac:dyDescent="0.25">
      <c r="C39" s="75">
        <f t="shared" si="0"/>
        <v>0.5714285714285714</v>
      </c>
      <c r="D39" s="72">
        <f t="shared" si="4"/>
        <v>34.285714285714285</v>
      </c>
      <c r="E39" s="4">
        <f t="shared" si="5"/>
        <v>100.18952627730742</v>
      </c>
      <c r="F39" s="5">
        <f t="shared" si="1"/>
        <v>0.5714285714285714</v>
      </c>
      <c r="G39" s="5">
        <f t="shared" si="6"/>
        <v>57.251157872747093</v>
      </c>
      <c r="H39" s="5">
        <f t="shared" si="7"/>
        <v>16.485920287983177</v>
      </c>
      <c r="I39" s="5">
        <f t="shared" si="8"/>
        <v>57.700721007941119</v>
      </c>
      <c r="J39" s="3">
        <v>8</v>
      </c>
      <c r="K39" s="66">
        <f t="shared" si="9"/>
        <v>15.130164538325204</v>
      </c>
      <c r="L39" s="53">
        <f t="shared" si="10"/>
        <v>4.3229041538072011</v>
      </c>
      <c r="M39" s="48">
        <f t="shared" si="11"/>
        <v>15.130164538325204</v>
      </c>
      <c r="N39" s="59">
        <f t="shared" si="12"/>
        <v>0</v>
      </c>
      <c r="O39" s="88">
        <f t="shared" si="13"/>
        <v>0</v>
      </c>
      <c r="P39" s="79">
        <f t="shared" si="2"/>
        <v>6.3229898057527443</v>
      </c>
      <c r="Q39" s="81">
        <f t="shared" ref="Q39:Q51" si="14">P39-P38</f>
        <v>4.6942317363882031</v>
      </c>
      <c r="R39" s="83">
        <f t="shared" si="3"/>
        <v>11.791688551594973</v>
      </c>
      <c r="S39" s="56">
        <f t="shared" ref="S39:S51" si="15">R39/(C39-C38)</f>
        <v>41.270909930582405</v>
      </c>
    </row>
    <row r="40" spans="3:19" ht="14.25" customHeight="1" x14ac:dyDescent="0.25">
      <c r="C40" s="75">
        <f t="shared" si="0"/>
        <v>0.85714285714285721</v>
      </c>
      <c r="D40" s="72">
        <f t="shared" si="4"/>
        <v>51.428571428571431</v>
      </c>
      <c r="E40" s="4">
        <f t="shared" si="5"/>
        <v>79.239178581354025</v>
      </c>
      <c r="F40" s="5">
        <f t="shared" si="1"/>
        <v>0.85714285714285721</v>
      </c>
      <c r="G40" s="5">
        <f t="shared" si="6"/>
        <v>67.919295926874881</v>
      </c>
      <c r="H40" s="5">
        <f t="shared" si="7"/>
        <v>10.668138054127787</v>
      </c>
      <c r="I40" s="5">
        <f t="shared" si="8"/>
        <v>37.33848318944726</v>
      </c>
      <c r="J40" s="3">
        <v>6</v>
      </c>
      <c r="K40" s="66">
        <f t="shared" si="9"/>
        <v>19.396353973737284</v>
      </c>
      <c r="L40" s="53">
        <f t="shared" si="10"/>
        <v>5.5418154210677955</v>
      </c>
      <c r="M40" s="48">
        <f t="shared" si="11"/>
        <v>19.396353973737284</v>
      </c>
      <c r="N40" s="59">
        <f t="shared" si="12"/>
        <v>0</v>
      </c>
      <c r="O40" s="88">
        <f t="shared" si="13"/>
        <v>0</v>
      </c>
      <c r="P40" s="79">
        <f t="shared" si="2"/>
        <v>10.579662275703484</v>
      </c>
      <c r="Q40" s="81">
        <f t="shared" si="14"/>
        <v>4.2566724699507397</v>
      </c>
      <c r="R40" s="83">
        <f t="shared" si="3"/>
        <v>6.4114655841770478</v>
      </c>
      <c r="S40" s="56">
        <f t="shared" si="15"/>
        <v>22.440129544619658</v>
      </c>
    </row>
    <row r="41" spans="3:19" ht="14.25" customHeight="1" x14ac:dyDescent="0.25">
      <c r="C41" s="75">
        <f t="shared" si="0"/>
        <v>1.1428571428571428</v>
      </c>
      <c r="D41" s="72">
        <f t="shared" si="4"/>
        <v>68.571428571428569</v>
      </c>
      <c r="E41" s="4">
        <f t="shared" si="5"/>
        <v>66.461822740026335</v>
      </c>
      <c r="F41" s="5">
        <f t="shared" si="1"/>
        <v>1.1428571428571428</v>
      </c>
      <c r="G41" s="5">
        <f t="shared" si="6"/>
        <v>75.956368845744379</v>
      </c>
      <c r="H41" s="5">
        <f t="shared" si="7"/>
        <v>8.037072918869498</v>
      </c>
      <c r="I41" s="5">
        <f t="shared" si="8"/>
        <v>28.129755216043243</v>
      </c>
      <c r="J41" s="3">
        <v>4</v>
      </c>
      <c r="K41" s="66">
        <f t="shared" si="9"/>
        <v>28.129755216043243</v>
      </c>
      <c r="L41" s="53">
        <f t="shared" si="10"/>
        <v>8.037072918869498</v>
      </c>
      <c r="M41" s="48">
        <f t="shared" si="11"/>
        <v>28.129755216043243</v>
      </c>
      <c r="N41" s="59">
        <f t="shared" si="12"/>
        <v>0</v>
      </c>
      <c r="O41" s="88">
        <f t="shared" si="13"/>
        <v>0</v>
      </c>
      <c r="P41" s="79">
        <f t="shared" si="2"/>
        <v>14.294075395717748</v>
      </c>
      <c r="Q41" s="81">
        <f t="shared" si="14"/>
        <v>3.7144131200142638</v>
      </c>
      <c r="R41" s="83">
        <f t="shared" si="3"/>
        <v>4.3226597988552342</v>
      </c>
      <c r="S41" s="56">
        <f t="shared" si="15"/>
        <v>15.129309295993327</v>
      </c>
    </row>
    <row r="42" spans="3:19" ht="14.25" customHeight="1" x14ac:dyDescent="0.25">
      <c r="C42" s="75">
        <f t="shared" si="0"/>
        <v>1.4285714285714284</v>
      </c>
      <c r="D42" s="72">
        <f t="shared" si="4"/>
        <v>85.714285714285708</v>
      </c>
      <c r="E42" s="4">
        <f t="shared" si="5"/>
        <v>57.738514328635894</v>
      </c>
      <c r="F42" s="5">
        <f>D42/60</f>
        <v>1.4285714285714284</v>
      </c>
      <c r="G42" s="5">
        <f t="shared" si="6"/>
        <v>82.483591898051273</v>
      </c>
      <c r="H42" s="5">
        <f t="shared" si="7"/>
        <v>6.5272230523068941</v>
      </c>
      <c r="I42" s="5">
        <f t="shared" si="8"/>
        <v>22.84528068307413</v>
      </c>
      <c r="J42" s="3">
        <v>2</v>
      </c>
      <c r="K42" s="66">
        <f t="shared" si="9"/>
        <v>57.700721007941119</v>
      </c>
      <c r="L42" s="53">
        <f t="shared" si="10"/>
        <v>16.485920287983177</v>
      </c>
      <c r="M42" s="48">
        <f t="shared" si="11"/>
        <v>38.08</v>
      </c>
      <c r="N42" s="59">
        <f t="shared" si="12"/>
        <v>19.620721007941121</v>
      </c>
      <c r="O42" s="88">
        <f t="shared" si="13"/>
        <v>5.605920287983178</v>
      </c>
      <c r="P42" s="79">
        <f t="shared" si="2"/>
        <v>17.587764721889297</v>
      </c>
      <c r="Q42" s="81">
        <f t="shared" si="14"/>
        <v>3.293689326171549</v>
      </c>
      <c r="R42" s="83">
        <f t="shared" si="3"/>
        <v>3.2335337261353452</v>
      </c>
      <c r="S42" s="56">
        <f t="shared" si="15"/>
        <v>11.317368041473713</v>
      </c>
    </row>
    <row r="43" spans="3:19" ht="14.25" customHeight="1" x14ac:dyDescent="0.25">
      <c r="C43" s="75">
        <f t="shared" si="0"/>
        <v>1.7142857142857142</v>
      </c>
      <c r="D43" s="72">
        <f t="shared" si="4"/>
        <v>102.85714285714285</v>
      </c>
      <c r="E43" s="4">
        <f t="shared" si="5"/>
        <v>51.348154269486123</v>
      </c>
      <c r="F43" s="5">
        <f t="shared" si="1"/>
        <v>1.7142857142857142</v>
      </c>
      <c r="G43" s="5">
        <f t="shared" si="6"/>
        <v>88.025407319119068</v>
      </c>
      <c r="H43" s="5">
        <f t="shared" si="7"/>
        <v>5.5418154210677955</v>
      </c>
      <c r="I43" s="5">
        <f t="shared" si="8"/>
        <v>19.396353973737284</v>
      </c>
      <c r="J43" s="3">
        <v>1</v>
      </c>
      <c r="K43" s="66">
        <f t="shared" si="9"/>
        <v>142.67833154667372</v>
      </c>
      <c r="L43" s="53">
        <f t="shared" si="10"/>
        <v>40.765237584763916</v>
      </c>
      <c r="M43" s="48">
        <f t="shared" si="11"/>
        <v>38.08</v>
      </c>
      <c r="N43" s="59">
        <f t="shared" si="12"/>
        <v>104.59833154667372</v>
      </c>
      <c r="O43" s="88">
        <f t="shared" si="13"/>
        <v>29.885237584763917</v>
      </c>
      <c r="P43" s="79">
        <f t="shared" si="2"/>
        <v>20.558526208081293</v>
      </c>
      <c r="Q43" s="81">
        <f t="shared" si="14"/>
        <v>2.9707614861919964</v>
      </c>
      <c r="R43" s="83">
        <f t="shared" si="3"/>
        <v>2.571053934875799</v>
      </c>
      <c r="S43" s="56">
        <f t="shared" si="15"/>
        <v>8.9986887720652931</v>
      </c>
    </row>
    <row r="44" spans="3:19" ht="14.25" customHeight="1" x14ac:dyDescent="0.25">
      <c r="C44" s="75">
        <f t="shared" si="0"/>
        <v>1.9999999999999998</v>
      </c>
      <c r="D44" s="72">
        <f t="shared" si="4"/>
        <v>119.99999999999999</v>
      </c>
      <c r="E44" s="4">
        <f t="shared" si="5"/>
        <v>46.434958792282373</v>
      </c>
      <c r="F44" s="5">
        <f t="shared" si="1"/>
        <v>1.9999999999999998</v>
      </c>
      <c r="G44" s="5">
        <f t="shared" si="6"/>
        <v>92.869917584564732</v>
      </c>
      <c r="H44" s="5">
        <f t="shared" si="7"/>
        <v>4.8445102654456633</v>
      </c>
      <c r="I44" s="5">
        <f t="shared" si="8"/>
        <v>16.955785929059822</v>
      </c>
      <c r="J44" s="3">
        <v>3</v>
      </c>
      <c r="K44" s="66">
        <f t="shared" si="9"/>
        <v>37.33848318944726</v>
      </c>
      <c r="L44" s="53">
        <f t="shared" si="10"/>
        <v>10.668138054127787</v>
      </c>
      <c r="M44" s="48">
        <f t="shared" si="11"/>
        <v>37.33848318944726</v>
      </c>
      <c r="N44" s="59">
        <f t="shared" si="12"/>
        <v>0</v>
      </c>
      <c r="O44" s="88">
        <f t="shared" si="13"/>
        <v>0</v>
      </c>
      <c r="P44" s="79">
        <f t="shared" si="2"/>
        <v>23.27524680900628</v>
      </c>
      <c r="Q44" s="81">
        <f t="shared" si="14"/>
        <v>2.7167206009249867</v>
      </c>
      <c r="R44" s="83">
        <f t="shared" si="3"/>
        <v>2.1277896645206766</v>
      </c>
      <c r="S44" s="56">
        <f t="shared" si="15"/>
        <v>7.4472638258223718</v>
      </c>
    </row>
    <row r="45" spans="3:19" ht="14.25" customHeight="1" x14ac:dyDescent="0.25">
      <c r="C45" s="75">
        <f t="shared" si="0"/>
        <v>2.2857142857142856</v>
      </c>
      <c r="D45" s="72">
        <f t="shared" si="4"/>
        <v>137.14285714285714</v>
      </c>
      <c r="E45" s="4">
        <f t="shared" si="5"/>
        <v>42.521859510537723</v>
      </c>
      <c r="F45" s="5">
        <f t="shared" si="1"/>
        <v>2.2857142857142856</v>
      </c>
      <c r="G45" s="5">
        <f t="shared" si="6"/>
        <v>97.192821738371933</v>
      </c>
      <c r="H45" s="5">
        <f t="shared" si="7"/>
        <v>4.3229041538072011</v>
      </c>
      <c r="I45" s="5">
        <f t="shared" si="8"/>
        <v>15.130164538325204</v>
      </c>
      <c r="J45" s="3">
        <v>5</v>
      </c>
      <c r="K45" s="66">
        <f t="shared" si="9"/>
        <v>22.84528068307413</v>
      </c>
      <c r="L45" s="53">
        <f t="shared" si="10"/>
        <v>6.5272230523068941</v>
      </c>
      <c r="M45" s="48">
        <f t="shared" si="11"/>
        <v>22.84528068307413</v>
      </c>
      <c r="N45" s="59">
        <f t="shared" si="12"/>
        <v>0</v>
      </c>
      <c r="O45" s="88">
        <f t="shared" si="13"/>
        <v>0</v>
      </c>
      <c r="P45" s="79">
        <f t="shared" si="2"/>
        <v>25.786818963626043</v>
      </c>
      <c r="Q45" s="81">
        <f t="shared" si="14"/>
        <v>2.5115721546197634</v>
      </c>
      <c r="R45" s="83">
        <f t="shared" si="3"/>
        <v>1.8113319991874377</v>
      </c>
      <c r="S45" s="56">
        <f t="shared" si="15"/>
        <v>6.3396619971560302</v>
      </c>
    </row>
    <row r="46" spans="3:19" ht="14.25" customHeight="1" x14ac:dyDescent="0.25">
      <c r="C46" s="75">
        <f t="shared" si="0"/>
        <v>2.5714285714285712</v>
      </c>
      <c r="D46" s="72">
        <f t="shared" si="4"/>
        <v>154.28571428571428</v>
      </c>
      <c r="E46" s="4">
        <f t="shared" si="5"/>
        <v>39.320341964567774</v>
      </c>
      <c r="F46" s="5">
        <f t="shared" si="1"/>
        <v>2.5714285714285712</v>
      </c>
      <c r="G46" s="5">
        <f t="shared" si="6"/>
        <v>101.10945076603142</v>
      </c>
      <c r="H46" s="5">
        <f t="shared" si="7"/>
        <v>3.9166290276594822</v>
      </c>
      <c r="I46" s="5">
        <f t="shared" si="8"/>
        <v>13.708201596808188</v>
      </c>
      <c r="J46" s="3">
        <v>7</v>
      </c>
      <c r="K46" s="66">
        <f t="shared" si="9"/>
        <v>16.955785929059822</v>
      </c>
      <c r="L46" s="53">
        <f t="shared" si="10"/>
        <v>4.8445102654456633</v>
      </c>
      <c r="M46" s="48">
        <f t="shared" si="11"/>
        <v>16.955785929059822</v>
      </c>
      <c r="N46" s="59">
        <f t="shared" si="12"/>
        <v>0</v>
      </c>
      <c r="O46" s="88">
        <f t="shared" si="13"/>
        <v>0</v>
      </c>
      <c r="P46" s="79">
        <f t="shared" si="2"/>
        <v>28.128905383209645</v>
      </c>
      <c r="Q46" s="81">
        <f t="shared" si="14"/>
        <v>2.3420864195836018</v>
      </c>
      <c r="R46" s="83">
        <f t="shared" si="3"/>
        <v>1.5745426080758804</v>
      </c>
      <c r="S46" s="56">
        <f t="shared" si="15"/>
        <v>5.5108991282655841</v>
      </c>
    </row>
    <row r="47" spans="3:19" ht="14.25" customHeight="1" x14ac:dyDescent="0.25">
      <c r="C47" s="75">
        <f t="shared" si="0"/>
        <v>2.8571428571428568</v>
      </c>
      <c r="D47" s="72">
        <f t="shared" si="4"/>
        <v>171.42857142857142</v>
      </c>
      <c r="E47" s="4">
        <f t="shared" si="5"/>
        <v>36.644917320606517</v>
      </c>
      <c r="F47" s="5">
        <f t="shared" si="1"/>
        <v>2.8571428571428568</v>
      </c>
      <c r="G47" s="5">
        <f t="shared" si="6"/>
        <v>104.69976377316146</v>
      </c>
      <c r="H47" s="5">
        <f t="shared" si="7"/>
        <v>3.5903130071300495</v>
      </c>
      <c r="I47" s="5">
        <f t="shared" si="8"/>
        <v>12.566095524955173</v>
      </c>
      <c r="J47" s="3">
        <v>9</v>
      </c>
      <c r="K47" s="66">
        <f t="shared" si="9"/>
        <v>13.708201596808188</v>
      </c>
      <c r="L47" s="53">
        <f t="shared" si="10"/>
        <v>3.9166290276594822</v>
      </c>
      <c r="M47" s="48">
        <f t="shared" si="11"/>
        <v>13.708201596808188</v>
      </c>
      <c r="N47" s="59">
        <f t="shared" si="12"/>
        <v>0</v>
      </c>
      <c r="O47" s="88">
        <f t="shared" si="13"/>
        <v>0</v>
      </c>
      <c r="P47" s="79">
        <f t="shared" si="2"/>
        <v>30.32826605318785</v>
      </c>
      <c r="Q47" s="81">
        <f t="shared" si="14"/>
        <v>2.1993606699782049</v>
      </c>
      <c r="R47" s="83">
        <f t="shared" si="3"/>
        <v>1.3909523371518446</v>
      </c>
      <c r="S47" s="56">
        <f t="shared" si="15"/>
        <v>4.868333180031458</v>
      </c>
    </row>
    <row r="48" spans="3:19" ht="14.25" customHeight="1" x14ac:dyDescent="0.25">
      <c r="C48" s="75">
        <f t="shared" si="0"/>
        <v>3.1428571428571428</v>
      </c>
      <c r="D48" s="72">
        <f t="shared" si="4"/>
        <v>188.57142857142856</v>
      </c>
      <c r="E48" s="4">
        <f t="shared" si="5"/>
        <v>34.370505274554425</v>
      </c>
      <c r="F48" s="5">
        <f t="shared" si="1"/>
        <v>3.1428571428571428</v>
      </c>
      <c r="G48" s="5">
        <f t="shared" si="6"/>
        <v>108.02158800574247</v>
      </c>
      <c r="H48" s="5">
        <f t="shared" si="7"/>
        <v>3.3218242325810081</v>
      </c>
      <c r="I48" s="5">
        <f t="shared" si="8"/>
        <v>11.626384814033528</v>
      </c>
      <c r="J48" s="3">
        <v>11</v>
      </c>
      <c r="K48" s="66">
        <f t="shared" si="9"/>
        <v>11.626384814033528</v>
      </c>
      <c r="L48" s="53">
        <f t="shared" si="10"/>
        <v>3.3218242325810081</v>
      </c>
      <c r="M48" s="48">
        <f t="shared" si="11"/>
        <v>11.626384814033528</v>
      </c>
      <c r="N48" s="59">
        <f t="shared" si="12"/>
        <v>0</v>
      </c>
      <c r="O48" s="88">
        <f t="shared" si="13"/>
        <v>0</v>
      </c>
      <c r="P48" s="79">
        <f t="shared" si="2"/>
        <v>32.405499563865924</v>
      </c>
      <c r="Q48" s="81">
        <f t="shared" si="14"/>
        <v>2.0772335106780737</v>
      </c>
      <c r="R48" s="83">
        <f t="shared" si="3"/>
        <v>1.2445907219029344</v>
      </c>
      <c r="S48" s="56">
        <f t="shared" si="15"/>
        <v>4.356067526660266</v>
      </c>
    </row>
    <row r="49" spans="3:19" ht="14.25" customHeight="1" x14ac:dyDescent="0.25">
      <c r="C49" s="75">
        <f t="shared" si="0"/>
        <v>3.4285714285714284</v>
      </c>
      <c r="D49" s="72">
        <f t="shared" si="4"/>
        <v>205.71428571428569</v>
      </c>
      <c r="E49" s="4">
        <f t="shared" si="5"/>
        <v>32.409467385295898</v>
      </c>
      <c r="F49" s="5">
        <f t="shared" si="1"/>
        <v>3.4285714285714284</v>
      </c>
      <c r="G49" s="5">
        <f t="shared" si="6"/>
        <v>111.11817389244307</v>
      </c>
      <c r="H49" s="5">
        <f t="shared" si="7"/>
        <v>3.0965858867005949</v>
      </c>
      <c r="I49" s="5">
        <f t="shared" si="8"/>
        <v>10.838050603452082</v>
      </c>
      <c r="J49" s="3">
        <v>12</v>
      </c>
      <c r="K49" s="66">
        <f t="shared" si="9"/>
        <v>10.838050603452082</v>
      </c>
      <c r="L49" s="53">
        <f t="shared" si="10"/>
        <v>3.0965858867005949</v>
      </c>
      <c r="M49" s="48">
        <f t="shared" si="11"/>
        <v>10.838050603452082</v>
      </c>
      <c r="N49" s="59">
        <f t="shared" si="12"/>
        <v>0</v>
      </c>
      <c r="O49" s="88">
        <f t="shared" si="13"/>
        <v>0</v>
      </c>
      <c r="P49" s="79">
        <f t="shared" si="2"/>
        <v>34.376817542010535</v>
      </c>
      <c r="Q49" s="81">
        <f t="shared" si="14"/>
        <v>1.9713179781446115</v>
      </c>
      <c r="R49" s="83">
        <f t="shared" si="3"/>
        <v>1.1252679085559834</v>
      </c>
      <c r="S49" s="56">
        <f t="shared" si="15"/>
        <v>3.9384376799459435</v>
      </c>
    </row>
    <row r="50" spans="3:19" ht="14.25" customHeight="1" x14ac:dyDescent="0.25">
      <c r="C50" s="75">
        <f t="shared" si="0"/>
        <v>3.714285714285714</v>
      </c>
      <c r="D50" s="72">
        <f t="shared" si="4"/>
        <v>222.85714285714283</v>
      </c>
      <c r="E50" s="4">
        <f t="shared" si="5"/>
        <v>30.698437237427552</v>
      </c>
      <c r="F50" s="5">
        <f t="shared" si="1"/>
        <v>3.714285714285714</v>
      </c>
      <c r="G50" s="5">
        <f t="shared" si="6"/>
        <v>114.02276688187375</v>
      </c>
      <c r="H50" s="5">
        <f t="shared" si="7"/>
        <v>2.9045929894306823</v>
      </c>
      <c r="I50" s="5">
        <f t="shared" si="8"/>
        <v>10.166075463007388</v>
      </c>
      <c r="J50" s="3">
        <v>13</v>
      </c>
      <c r="K50" s="66">
        <f t="shared" si="9"/>
        <v>10.166075463007388</v>
      </c>
      <c r="L50" s="53">
        <f t="shared" si="10"/>
        <v>2.9045929894306823</v>
      </c>
      <c r="M50" s="48">
        <f t="shared" si="11"/>
        <v>10.166075463007388</v>
      </c>
      <c r="N50" s="59">
        <f t="shared" si="12"/>
        <v>0</v>
      </c>
      <c r="O50" s="88">
        <f t="shared" si="13"/>
        <v>0</v>
      </c>
      <c r="P50" s="79">
        <f t="shared" si="2"/>
        <v>36.255225707668778</v>
      </c>
      <c r="Q50" s="81">
        <f t="shared" si="14"/>
        <v>1.878408165658243</v>
      </c>
      <c r="R50" s="83">
        <f t="shared" si="3"/>
        <v>1.0261848237724394</v>
      </c>
      <c r="S50" s="56">
        <f t="shared" si="15"/>
        <v>3.5916468832035395</v>
      </c>
    </row>
    <row r="51" spans="3:19" ht="14.25" customHeight="1" thickBot="1" x14ac:dyDescent="0.3">
      <c r="C51" s="76">
        <f t="shared" si="0"/>
        <v>3.9999999999999996</v>
      </c>
      <c r="D51" s="73">
        <f t="shared" si="4"/>
        <v>239.99999999999997</v>
      </c>
      <c r="E51" s="67">
        <f t="shared" si="5"/>
        <v>29.190377202082782</v>
      </c>
      <c r="F51" s="68">
        <f t="shared" si="1"/>
        <v>3.9999999999999996</v>
      </c>
      <c r="G51" s="68">
        <f t="shared" si="6"/>
        <v>116.76150880833112</v>
      </c>
      <c r="H51" s="68">
        <f t="shared" si="7"/>
        <v>2.7387419264573651</v>
      </c>
      <c r="I51" s="68">
        <f t="shared" si="8"/>
        <v>9.585596742600778</v>
      </c>
      <c r="J51" s="69">
        <v>14</v>
      </c>
      <c r="K51" s="70">
        <f t="shared" si="9"/>
        <v>9.585596742600778</v>
      </c>
      <c r="L51" s="54">
        <f t="shared" si="10"/>
        <v>2.7387419264573651</v>
      </c>
      <c r="M51" s="49">
        <f t="shared" si="11"/>
        <v>9.585596742600778</v>
      </c>
      <c r="N51" s="60">
        <f t="shared" si="12"/>
        <v>0</v>
      </c>
      <c r="O51" s="89">
        <f t="shared" si="13"/>
        <v>0</v>
      </c>
      <c r="P51" s="80">
        <f t="shared" si="2"/>
        <v>38.051332086905177</v>
      </c>
      <c r="Q51" s="82">
        <f t="shared" si="14"/>
        <v>1.7961063792363987</v>
      </c>
      <c r="R51" s="84">
        <f t="shared" si="3"/>
        <v>0.94263554722096643</v>
      </c>
      <c r="S51" s="57">
        <f t="shared" si="15"/>
        <v>3.2992244152733838</v>
      </c>
    </row>
    <row r="52" spans="3:19" ht="14.25" customHeight="1" thickBot="1" x14ac:dyDescent="0.3">
      <c r="L52" s="106">
        <f>SUM(L37:L51)</f>
        <v>116.7615088083311</v>
      </c>
      <c r="O52" s="107">
        <f>SUM(O37:O51)</f>
        <v>35.491157872747095</v>
      </c>
      <c r="Q52" s="108">
        <f>SUM(Q37:Q51)</f>
        <v>38.051332086905177</v>
      </c>
    </row>
    <row r="53" spans="3:19" ht="14.25" customHeight="1" x14ac:dyDescent="0.25"/>
    <row r="54" spans="3:19" ht="14.25" customHeight="1" x14ac:dyDescent="0.25"/>
    <row r="55" spans="3:19" ht="14.25" customHeight="1" x14ac:dyDescent="0.25"/>
    <row r="56" spans="3:19" ht="14.25" customHeight="1" x14ac:dyDescent="0.25"/>
    <row r="57" spans="3:19" ht="14.25" customHeight="1" x14ac:dyDescent="0.25"/>
    <row r="58" spans="3:19" ht="14.25" customHeight="1" x14ac:dyDescent="0.25"/>
    <row r="59" spans="3:19" ht="14.25" customHeight="1" x14ac:dyDescent="0.25"/>
    <row r="60" spans="3:19" ht="14.25" customHeight="1" x14ac:dyDescent="0.25"/>
    <row r="61" spans="3:19" ht="14.25" customHeight="1" x14ac:dyDescent="0.25"/>
    <row r="62" spans="3:19" ht="14.25" customHeight="1" x14ac:dyDescent="0.25"/>
    <row r="63" spans="3:19" ht="14.25" customHeight="1" x14ac:dyDescent="0.25"/>
    <row r="64" spans="3:19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spans="3:5" ht="14.25" customHeight="1" x14ac:dyDescent="0.25"/>
    <row r="82" spans="3:5" ht="14.25" customHeight="1" x14ac:dyDescent="0.25"/>
    <row r="83" spans="3:5" ht="14.25" customHeight="1" x14ac:dyDescent="0.25"/>
    <row r="84" spans="3:5" ht="14.25" customHeight="1" x14ac:dyDescent="0.25"/>
    <row r="85" spans="3:5" ht="14.25" customHeight="1" x14ac:dyDescent="0.25"/>
    <row r="86" spans="3:5" ht="14.25" customHeight="1" x14ac:dyDescent="0.25"/>
    <row r="87" spans="3:5" ht="14.25" customHeight="1" x14ac:dyDescent="0.25"/>
    <row r="88" spans="3:5" ht="14.25" customHeight="1" x14ac:dyDescent="0.25">
      <c r="C88" s="6" t="s">
        <v>8</v>
      </c>
      <c r="D88" s="1">
        <v>67</v>
      </c>
    </row>
    <row r="89" spans="3:5" ht="14.25" customHeight="1" x14ac:dyDescent="0.25">
      <c r="C89" s="6" t="s">
        <v>9</v>
      </c>
      <c r="D89" s="2">
        <f>25.9*(1000/D88-10)</f>
        <v>127.56716417910448</v>
      </c>
      <c r="E89" s="1" t="s">
        <v>5</v>
      </c>
    </row>
    <row r="90" spans="3:5" ht="14.25" customHeight="1" x14ac:dyDescent="0.25">
      <c r="C90" s="6" t="s">
        <v>10</v>
      </c>
      <c r="D90" s="2">
        <f>(E33-0.2*D89)^2/(E33+0.8*D89)</f>
        <v>38.051332086905163</v>
      </c>
      <c r="E90" s="1" t="s">
        <v>5</v>
      </c>
    </row>
    <row r="91" spans="3:5" ht="14.25" customHeight="1" x14ac:dyDescent="0.25"/>
    <row r="92" spans="3:5" ht="14.25" customHeight="1" x14ac:dyDescent="0.25"/>
    <row r="93" spans="3:5" ht="14.25" customHeight="1" x14ac:dyDescent="0.25"/>
    <row r="94" spans="3:5" ht="14.25" customHeight="1" x14ac:dyDescent="0.25"/>
    <row r="95" spans="3:5" ht="14.25" customHeight="1" x14ac:dyDescent="0.25"/>
    <row r="96" spans="3:5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  <row r="1001" ht="14.25" customHeight="1" x14ac:dyDescent="0.25"/>
    <row r="1002" ht="14.25" customHeight="1" x14ac:dyDescent="0.25"/>
    <row r="1003" ht="14.25" customHeight="1" x14ac:dyDescent="0.25"/>
    <row r="1004" ht="14.25" customHeight="1" x14ac:dyDescent="0.25"/>
    <row r="1005" ht="14.25" customHeight="1" x14ac:dyDescent="0.25"/>
    <row r="1006" ht="14.25" customHeight="1" x14ac:dyDescent="0.25"/>
    <row r="1007" ht="14.25" customHeight="1" x14ac:dyDescent="0.25"/>
    <row r="1008" ht="14.25" customHeight="1" x14ac:dyDescent="0.25"/>
    <row r="1009" ht="14.25" customHeight="1" x14ac:dyDescent="0.25"/>
    <row r="1010" ht="14.25" customHeight="1" x14ac:dyDescent="0.25"/>
    <row r="1011" ht="14.25" customHeight="1" x14ac:dyDescent="0.25"/>
    <row r="1012" ht="14.25" customHeight="1" x14ac:dyDescent="0.25"/>
    <row r="1013" ht="14.25" customHeight="1" x14ac:dyDescent="0.25"/>
    <row r="1014" ht="14.25" customHeight="1" x14ac:dyDescent="0.25"/>
    <row r="1015" ht="14.25" customHeight="1" x14ac:dyDescent="0.25"/>
    <row r="1016" ht="14.25" customHeight="1" x14ac:dyDescent="0.25"/>
    <row r="1017" ht="14.25" customHeight="1" x14ac:dyDescent="0.25"/>
    <row r="1018" ht="14.25" customHeight="1" x14ac:dyDescent="0.25"/>
    <row r="1019" ht="14.25" customHeight="1" x14ac:dyDescent="0.25"/>
    <row r="1020" ht="14.25" customHeight="1" x14ac:dyDescent="0.25"/>
    <row r="1021" ht="14.25" customHeight="1" x14ac:dyDescent="0.25"/>
  </sheetData>
  <mergeCells count="8">
    <mergeCell ref="P35:S35"/>
    <mergeCell ref="B17:B19"/>
    <mergeCell ref="B21:B27"/>
    <mergeCell ref="G16:H16"/>
    <mergeCell ref="B3:C3"/>
    <mergeCell ref="G17:H17"/>
    <mergeCell ref="M35:O35"/>
    <mergeCell ref="F29:G29"/>
  </mergeCells>
  <pageMargins left="0.511811024" right="0.511811024" top="0.78740157499999996" bottom="0.78740157499999996" header="0" footer="0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46A5C2-D33D-4456-886E-A77A381C13F0}">
  <dimension ref="B2:R43"/>
  <sheetViews>
    <sheetView workbookViewId="0"/>
  </sheetViews>
  <sheetFormatPr defaultRowHeight="15" x14ac:dyDescent="0.25"/>
  <sheetData>
    <row r="2" spans="2:18" ht="15.75" thickBot="1" x14ac:dyDescent="0.3"/>
    <row r="3" spans="2:18" ht="15.75" thickBot="1" x14ac:dyDescent="0.3">
      <c r="B3" s="149" t="s">
        <v>55</v>
      </c>
      <c r="C3" s="150"/>
      <c r="L3" s="149" t="s">
        <v>58</v>
      </c>
      <c r="M3" s="151"/>
      <c r="N3" s="151"/>
      <c r="O3" s="150"/>
    </row>
    <row r="9" spans="2:18" x14ac:dyDescent="0.25">
      <c r="R9" s="90"/>
    </row>
    <row r="12" spans="2:18" x14ac:dyDescent="0.25">
      <c r="L12" s="7" t="s">
        <v>56</v>
      </c>
    </row>
    <row r="14" spans="2:18" x14ac:dyDescent="0.25">
      <c r="L14" s="7" t="s">
        <v>57</v>
      </c>
    </row>
    <row r="27" spans="3:17" ht="15.75" thickBot="1" x14ac:dyDescent="0.3"/>
    <row r="28" spans="3:17" ht="15.75" thickBot="1" x14ac:dyDescent="0.3">
      <c r="C28" s="149" t="s">
        <v>68</v>
      </c>
      <c r="D28" s="151"/>
      <c r="E28" s="151"/>
      <c r="F28" s="151"/>
      <c r="G28" s="151"/>
      <c r="H28" s="150"/>
      <c r="M28" s="149" t="s">
        <v>80</v>
      </c>
      <c r="N28" s="151"/>
      <c r="O28" s="151"/>
      <c r="P28" s="151"/>
      <c r="Q28" s="150"/>
    </row>
    <row r="31" spans="3:17" x14ac:dyDescent="0.25">
      <c r="M31" s="101" t="s">
        <v>73</v>
      </c>
    </row>
    <row r="32" spans="3:17" x14ac:dyDescent="0.25">
      <c r="M32" s="102" t="s">
        <v>74</v>
      </c>
    </row>
    <row r="33" spans="13:13" x14ac:dyDescent="0.25">
      <c r="M33" s="101" t="s">
        <v>75</v>
      </c>
    </row>
    <row r="34" spans="13:13" x14ac:dyDescent="0.25">
      <c r="M34" s="101" t="s">
        <v>76</v>
      </c>
    </row>
    <row r="36" spans="13:13" x14ac:dyDescent="0.25">
      <c r="M36" s="101" t="s">
        <v>77</v>
      </c>
    </row>
    <row r="37" spans="13:13" x14ac:dyDescent="0.25">
      <c r="M37" s="103" t="s">
        <v>78</v>
      </c>
    </row>
    <row r="38" spans="13:13" x14ac:dyDescent="0.25">
      <c r="M38" s="104" t="s">
        <v>79</v>
      </c>
    </row>
    <row r="40" spans="13:13" x14ac:dyDescent="0.25">
      <c r="M40" s="101" t="s">
        <v>69</v>
      </c>
    </row>
    <row r="41" spans="13:13" x14ac:dyDescent="0.25">
      <c r="M41" s="102" t="s">
        <v>70</v>
      </c>
    </row>
    <row r="42" spans="13:13" x14ac:dyDescent="0.25">
      <c r="M42" s="101" t="s">
        <v>71</v>
      </c>
    </row>
    <row r="43" spans="13:13" x14ac:dyDescent="0.25">
      <c r="M43" s="101" t="s">
        <v>72</v>
      </c>
    </row>
  </sheetData>
  <sheetProtection algorithmName="SHA-512" hashValue="xbhh5S+f3xQGPkQhIL2MMiImqRZR6XhaAftDhMwnlDm9mX+s/drivRIgfoEn1WwDmiaMa0sQXdeqDC4jfrQT/g==" saltValue="doqMH8NtTVdW/2wP1xjiIw==" spinCount="100000" sheet="1" objects="1" scenarios="1"/>
  <mergeCells count="4">
    <mergeCell ref="B3:C3"/>
    <mergeCell ref="C28:H28"/>
    <mergeCell ref="M28:Q28"/>
    <mergeCell ref="L3:O3"/>
  </mergeCells>
  <hyperlinks>
    <hyperlink ref="M38" r:id="rId1" display="https://www.hec.usace.army.mil/confluence/rasdocs/rasum/latest" xr:uid="{4599F25E-940E-4306-8C94-8027909E6E9E}"/>
  </hyperlinks>
  <pageMargins left="0.511811024" right="0.511811024" top="0.78740157499999996" bottom="0.78740157499999996" header="0.31496062000000002" footer="0.31496062000000002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BLOCOS ALTERNADOS</vt:lpstr>
      <vt:lpstr>REFERENCIAL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 Nascimento Nascimento</dc:creator>
  <cp:lastModifiedBy>Elson Nascimento</cp:lastModifiedBy>
  <dcterms:created xsi:type="dcterms:W3CDTF">2015-06-05T18:19:34Z</dcterms:created>
  <dcterms:modified xsi:type="dcterms:W3CDTF">2025-09-17T12:30:34Z</dcterms:modified>
</cp:coreProperties>
</file>